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50" activeTab="1"/>
  </bookViews>
  <sheets>
    <sheet name="Data" sheetId="2" r:id="rId1"/>
    <sheet name="Output" sheetId="3" r:id="rId2"/>
    <sheet name="Charges Calculator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K25" i="2" l="1"/>
  <c r="M10" i="2"/>
  <c r="M16" i="2" l="1"/>
  <c r="L17" i="2"/>
  <c r="L16" i="2"/>
  <c r="L15" i="2"/>
  <c r="L14" i="2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6" i="6"/>
  <c r="F27" i="6" s="1"/>
  <c r="E7" i="6"/>
  <c r="E8" i="6"/>
  <c r="E9" i="6"/>
  <c r="E10" i="6"/>
  <c r="E11" i="6"/>
  <c r="E12" i="6"/>
  <c r="E13" i="6"/>
  <c r="E14" i="6"/>
  <c r="E27" i="6" s="1"/>
  <c r="E15" i="6"/>
  <c r="E16" i="6"/>
  <c r="E17" i="6"/>
  <c r="E18" i="6"/>
  <c r="E19" i="6"/>
  <c r="E20" i="6"/>
  <c r="E21" i="6"/>
  <c r="E22" i="6"/>
  <c r="E23" i="6"/>
  <c r="E24" i="6"/>
  <c r="E25" i="6"/>
  <c r="E26" i="6"/>
  <c r="E6" i="6"/>
  <c r="K24" i="2" l="1"/>
  <c r="L93" i="2" l="1"/>
  <c r="L92" i="2"/>
  <c r="L91" i="2"/>
  <c r="L90" i="2"/>
  <c r="L88" i="2"/>
  <c r="L87" i="2"/>
  <c r="L86" i="2"/>
  <c r="L83" i="2"/>
  <c r="L82" i="2"/>
  <c r="L74" i="2"/>
  <c r="L73" i="2"/>
  <c r="L72" i="2"/>
  <c r="L71" i="2"/>
  <c r="L69" i="2"/>
  <c r="L68" i="2"/>
  <c r="L67" i="2"/>
  <c r="L64" i="2"/>
  <c r="L63" i="2"/>
  <c r="L55" i="2"/>
  <c r="L54" i="2"/>
  <c r="L53" i="2"/>
  <c r="L52" i="2"/>
  <c r="L50" i="2"/>
  <c r="L49" i="2"/>
  <c r="L48" i="2"/>
  <c r="L45" i="2"/>
  <c r="L44" i="2"/>
  <c r="L36" i="2"/>
  <c r="L35" i="2"/>
  <c r="L34" i="2"/>
  <c r="L33" i="2"/>
  <c r="L31" i="2"/>
  <c r="L30" i="2"/>
  <c r="L29" i="2"/>
  <c r="L26" i="2"/>
  <c r="L25" i="2"/>
  <c r="L12" i="2"/>
  <c r="L11" i="2"/>
  <c r="L10" i="2"/>
  <c r="L7" i="2"/>
  <c r="L6" i="2"/>
  <c r="B10" i="3" l="1"/>
  <c r="B8" i="3"/>
  <c r="B9" i="3"/>
  <c r="B11" i="3"/>
  <c r="B7" i="3"/>
  <c r="O85" i="2" l="1"/>
  <c r="N85" i="2"/>
  <c r="K87" i="2"/>
  <c r="K88" i="2"/>
  <c r="K90" i="2"/>
  <c r="K91" i="2"/>
  <c r="K92" i="2"/>
  <c r="K93" i="2"/>
  <c r="K86" i="2"/>
  <c r="K83" i="2"/>
  <c r="K82" i="2"/>
  <c r="K85" i="2"/>
  <c r="J85" i="2"/>
  <c r="O66" i="2"/>
  <c r="N66" i="2"/>
  <c r="K68" i="2"/>
  <c r="K69" i="2"/>
  <c r="K71" i="2"/>
  <c r="K72" i="2"/>
  <c r="K73" i="2"/>
  <c r="K74" i="2"/>
  <c r="K67" i="2"/>
  <c r="K64" i="2"/>
  <c r="K63" i="2"/>
  <c r="O47" i="2"/>
  <c r="N47" i="2"/>
  <c r="K52" i="2"/>
  <c r="K53" i="2"/>
  <c r="K54" i="2"/>
  <c r="K55" i="2"/>
  <c r="K49" i="2"/>
  <c r="K50" i="2"/>
  <c r="K48" i="2"/>
  <c r="K45" i="2"/>
  <c r="K44" i="2"/>
  <c r="K81" i="2"/>
  <c r="J81" i="2"/>
  <c r="J93" i="2" s="1"/>
  <c r="J66" i="2"/>
  <c r="K66" i="2"/>
  <c r="K62" i="2"/>
  <c r="J62" i="2"/>
  <c r="K47" i="2"/>
  <c r="J47" i="2"/>
  <c r="K43" i="2"/>
  <c r="J43" i="2"/>
  <c r="K28" i="2"/>
  <c r="J28" i="2"/>
  <c r="J24" i="2"/>
  <c r="O28" i="2"/>
  <c r="N28" i="2"/>
  <c r="O9" i="2"/>
  <c r="N9" i="2"/>
  <c r="O43" i="2"/>
  <c r="N43" i="2"/>
  <c r="K30" i="2" l="1"/>
  <c r="M30" i="2" s="1"/>
  <c r="K33" i="2"/>
  <c r="M33" i="2" s="1"/>
  <c r="K36" i="2"/>
  <c r="K35" i="2"/>
  <c r="M35" i="2" s="1"/>
  <c r="K34" i="2"/>
  <c r="M34" i="2" s="1"/>
  <c r="K29" i="2"/>
  <c r="M29" i="2" s="1"/>
  <c r="K31" i="2"/>
  <c r="M31" i="2" s="1"/>
  <c r="M25" i="2"/>
  <c r="K26" i="2"/>
  <c r="M26" i="2" s="1"/>
  <c r="J69" i="2"/>
  <c r="J50" i="2"/>
  <c r="K89" i="2"/>
  <c r="J86" i="2"/>
  <c r="K70" i="2"/>
  <c r="K51" i="2"/>
  <c r="D9" i="3" s="1"/>
  <c r="J49" i="2"/>
  <c r="J52" i="2"/>
  <c r="J88" i="2"/>
  <c r="J90" i="2"/>
  <c r="J87" i="2"/>
  <c r="J83" i="2"/>
  <c r="J92" i="2"/>
  <c r="J91" i="2"/>
  <c r="J82" i="2"/>
  <c r="J67" i="2"/>
  <c r="J68" i="2"/>
  <c r="J74" i="2"/>
  <c r="J73" i="2"/>
  <c r="J63" i="2"/>
  <c r="J71" i="2"/>
  <c r="J64" i="2"/>
  <c r="J72" i="2"/>
  <c r="J44" i="2"/>
  <c r="J53" i="2"/>
  <c r="J55" i="2"/>
  <c r="J54" i="2"/>
  <c r="J45" i="2"/>
  <c r="J48" i="2"/>
  <c r="J31" i="2"/>
  <c r="J30" i="2"/>
  <c r="J33" i="2"/>
  <c r="J36" i="2"/>
  <c r="J35" i="2"/>
  <c r="J34" i="2"/>
  <c r="J29" i="2"/>
  <c r="J26" i="2"/>
  <c r="J5" i="2"/>
  <c r="D8" i="2"/>
  <c r="H2" i="3" s="1"/>
  <c r="M86" i="2"/>
  <c r="M87" i="2"/>
  <c r="M88" i="2"/>
  <c r="M90" i="2"/>
  <c r="M91" i="2"/>
  <c r="M92" i="2"/>
  <c r="M93" i="2"/>
  <c r="O81" i="2"/>
  <c r="M82" i="2"/>
  <c r="M83" i="2"/>
  <c r="M67" i="2"/>
  <c r="M68" i="2"/>
  <c r="M69" i="2"/>
  <c r="M71" i="2"/>
  <c r="M72" i="2"/>
  <c r="M73" i="2"/>
  <c r="M74" i="2"/>
  <c r="M63" i="2"/>
  <c r="M64" i="2"/>
  <c r="M48" i="2"/>
  <c r="M49" i="2"/>
  <c r="M50" i="2"/>
  <c r="M52" i="2"/>
  <c r="M53" i="2"/>
  <c r="M54" i="2"/>
  <c r="M55" i="2"/>
  <c r="M44" i="2"/>
  <c r="M45" i="2"/>
  <c r="B27" i="6"/>
  <c r="C27" i="6" s="1"/>
  <c r="M36" i="2"/>
  <c r="N24" i="2"/>
  <c r="K5" i="2"/>
  <c r="J70" i="2" l="1"/>
  <c r="C10" i="3" s="1"/>
  <c r="J32" i="2"/>
  <c r="J89" i="2"/>
  <c r="C11" i="3" s="1"/>
  <c r="N93" i="2"/>
  <c r="O93" i="2"/>
  <c r="O92" i="2"/>
  <c r="N92" i="2"/>
  <c r="O83" i="2"/>
  <c r="N83" i="2"/>
  <c r="N87" i="2"/>
  <c r="O87" i="2"/>
  <c r="N91" i="2"/>
  <c r="O91" i="2"/>
  <c r="N90" i="2"/>
  <c r="O90" i="2"/>
  <c r="N88" i="2"/>
  <c r="O88" i="2"/>
  <c r="N82" i="2"/>
  <c r="O82" i="2"/>
  <c r="O86" i="2"/>
  <c r="N86" i="2"/>
  <c r="N72" i="2"/>
  <c r="O72" i="2"/>
  <c r="N71" i="2"/>
  <c r="O71" i="2"/>
  <c r="N64" i="2"/>
  <c r="O64" i="2"/>
  <c r="O63" i="2"/>
  <c r="N63" i="2"/>
  <c r="O69" i="2"/>
  <c r="N69" i="2"/>
  <c r="N68" i="2"/>
  <c r="O68" i="2"/>
  <c r="O67" i="2"/>
  <c r="N67" i="2"/>
  <c r="O74" i="2"/>
  <c r="N74" i="2"/>
  <c r="N73" i="2"/>
  <c r="O73" i="2"/>
  <c r="O52" i="2"/>
  <c r="N52" i="2"/>
  <c r="O50" i="2"/>
  <c r="N50" i="2"/>
  <c r="N49" i="2"/>
  <c r="O49" i="2"/>
  <c r="N44" i="2"/>
  <c r="O44" i="2"/>
  <c r="N55" i="2"/>
  <c r="O55" i="2"/>
  <c r="O45" i="2"/>
  <c r="N45" i="2"/>
  <c r="N48" i="2"/>
  <c r="O48" i="2"/>
  <c r="N54" i="2"/>
  <c r="O54" i="2"/>
  <c r="O53" i="2"/>
  <c r="N53" i="2"/>
  <c r="O29" i="2"/>
  <c r="N29" i="2"/>
  <c r="O35" i="2"/>
  <c r="N35" i="2"/>
  <c r="N31" i="2"/>
  <c r="O31" i="2"/>
  <c r="O30" i="2"/>
  <c r="N30" i="2"/>
  <c r="N25" i="2"/>
  <c r="O25" i="2"/>
  <c r="O34" i="2"/>
  <c r="N34" i="2"/>
  <c r="N26" i="2"/>
  <c r="O26" i="2"/>
  <c r="O36" i="2"/>
  <c r="N36" i="2"/>
  <c r="O33" i="2"/>
  <c r="N33" i="2"/>
  <c r="J84" i="2"/>
  <c r="K84" i="2"/>
  <c r="J65" i="2"/>
  <c r="J94" i="2"/>
  <c r="K94" i="2"/>
  <c r="J75" i="2"/>
  <c r="K75" i="2"/>
  <c r="D10" i="3"/>
  <c r="K65" i="2"/>
  <c r="J56" i="2"/>
  <c r="J51" i="2"/>
  <c r="C9" i="3" s="1"/>
  <c r="J46" i="2"/>
  <c r="K56" i="2"/>
  <c r="K46" i="2"/>
  <c r="K32" i="2"/>
  <c r="D8" i="3" s="1"/>
  <c r="K37" i="2"/>
  <c r="K27" i="2"/>
  <c r="C16" i="2"/>
  <c r="O62" i="2"/>
  <c r="N62" i="2"/>
  <c r="N81" i="2"/>
  <c r="O24" i="2"/>
  <c r="O5" i="2"/>
  <c r="N5" i="2"/>
  <c r="N84" i="2" l="1"/>
  <c r="N70" i="2"/>
  <c r="E10" i="3" s="1"/>
  <c r="O84" i="2"/>
  <c r="N65" i="2"/>
  <c r="O65" i="2"/>
  <c r="O46" i="2"/>
  <c r="N46" i="2"/>
  <c r="O56" i="2"/>
  <c r="N51" i="2"/>
  <c r="E9" i="3" s="1"/>
  <c r="O89" i="2"/>
  <c r="F11" i="3" s="1"/>
  <c r="N94" i="2"/>
  <c r="N89" i="2"/>
  <c r="E11" i="3" s="1"/>
  <c r="O70" i="2"/>
  <c r="F10" i="3" s="1"/>
  <c r="O51" i="2"/>
  <c r="F9" i="3" s="1"/>
  <c r="O27" i="2"/>
  <c r="N32" i="2"/>
  <c r="E8" i="3" s="1"/>
  <c r="N27" i="2"/>
  <c r="O32" i="2"/>
  <c r="C4" i="3"/>
  <c r="J95" i="2"/>
  <c r="K95" i="2"/>
  <c r="K76" i="2"/>
  <c r="J76" i="2"/>
  <c r="O94" i="2"/>
  <c r="K38" i="2"/>
  <c r="D11" i="3"/>
  <c r="D16" i="2"/>
  <c r="D4" i="3" s="1"/>
  <c r="N75" i="2"/>
  <c r="O75" i="2"/>
  <c r="N56" i="2"/>
  <c r="K57" i="2"/>
  <c r="J57" i="2"/>
  <c r="N37" i="2"/>
  <c r="O37" i="2"/>
  <c r="F8" i="3" l="1"/>
  <c r="O57" i="2"/>
  <c r="N95" i="2"/>
  <c r="O95" i="2"/>
  <c r="O76" i="2"/>
  <c r="N76" i="2"/>
  <c r="N57" i="2"/>
  <c r="O38" i="2"/>
  <c r="N38" i="2"/>
  <c r="K9" i="2"/>
  <c r="J9" i="2" l="1"/>
  <c r="K10" i="2" s="1"/>
  <c r="K15" i="2" l="1"/>
  <c r="K6" i="2"/>
  <c r="K7" i="2"/>
  <c r="M7" i="2" s="1"/>
  <c r="O7" i="2" s="1"/>
  <c r="K12" i="2"/>
  <c r="M12" i="2" s="1"/>
  <c r="O12" i="2" s="1"/>
  <c r="O10" i="2"/>
  <c r="K11" i="2"/>
  <c r="M11" i="2" s="1"/>
  <c r="O11" i="2" s="1"/>
  <c r="K16" i="2"/>
  <c r="O16" i="2" s="1"/>
  <c r="K14" i="2"/>
  <c r="M14" i="2" s="1"/>
  <c r="K17" i="2"/>
  <c r="M17" i="2" s="1"/>
  <c r="N10" i="2"/>
  <c r="J11" i="2"/>
  <c r="J14" i="2"/>
  <c r="J17" i="2"/>
  <c r="J10" i="2"/>
  <c r="J6" i="2"/>
  <c r="J15" i="2"/>
  <c r="J16" i="2"/>
  <c r="J12" i="2"/>
  <c r="J7" i="2"/>
  <c r="O17" i="2" l="1"/>
  <c r="M15" i="2"/>
  <c r="O15" i="2" s="1"/>
  <c r="K13" i="2"/>
  <c r="D7" i="3" s="1"/>
  <c r="N7" i="2"/>
  <c r="N16" i="2"/>
  <c r="C34" i="2" s="1"/>
  <c r="E16" i="3" s="1"/>
  <c r="O13" i="2"/>
  <c r="F7" i="3" s="1"/>
  <c r="N12" i="2"/>
  <c r="N11" i="2"/>
  <c r="M6" i="2"/>
  <c r="K8" i="2"/>
  <c r="K18" i="2"/>
  <c r="C19" i="2"/>
  <c r="J8" i="2"/>
  <c r="J13" i="2"/>
  <c r="C7" i="3" s="1"/>
  <c r="J18" i="2"/>
  <c r="N15" i="2" l="1"/>
  <c r="C33" i="2" s="1"/>
  <c r="E15" i="3" s="1"/>
  <c r="N17" i="2"/>
  <c r="C35" i="2" s="1"/>
  <c r="E17" i="3" s="1"/>
  <c r="N13" i="2"/>
  <c r="E7" i="3" s="1"/>
  <c r="O14" i="2"/>
  <c r="O18" i="2" s="1"/>
  <c r="N14" i="2"/>
  <c r="K19" i="2"/>
  <c r="O6" i="2"/>
  <c r="O8" i="2" s="1"/>
  <c r="N6" i="2"/>
  <c r="N8" i="2" s="1"/>
  <c r="C30" i="2" s="1"/>
  <c r="E5" i="3" s="1"/>
  <c r="J19" i="2"/>
  <c r="C8" i="3"/>
  <c r="C20" i="2"/>
  <c r="C14" i="3" s="1"/>
  <c r="C23" i="2"/>
  <c r="C22" i="2"/>
  <c r="C16" i="3" s="1"/>
  <c r="J25" i="2"/>
  <c r="J27" i="2" s="1"/>
  <c r="J37" i="2"/>
  <c r="C24" i="2" s="1"/>
  <c r="C21" i="2"/>
  <c r="C15" i="3" s="1"/>
  <c r="C17" i="2"/>
  <c r="D17" i="2" s="1"/>
  <c r="C31" i="2" l="1"/>
  <c r="E12" i="3" s="1"/>
  <c r="O19" i="2"/>
  <c r="C32" i="2"/>
  <c r="E14" i="3" s="1"/>
  <c r="N18" i="2"/>
  <c r="D11" i="2"/>
  <c r="I3" i="3" s="1"/>
  <c r="J3" i="3" s="1"/>
  <c r="J38" i="2"/>
  <c r="C17" i="3"/>
  <c r="C18" i="3"/>
  <c r="C12" i="3"/>
  <c r="C18" i="2"/>
  <c r="I14" i="3" l="1"/>
  <c r="C25" i="2"/>
  <c r="C5" i="3"/>
  <c r="D19" i="2"/>
  <c r="D12" i="3" s="1"/>
  <c r="C37" i="2"/>
  <c r="E19" i="3" s="1"/>
  <c r="C36" i="2"/>
  <c r="E18" i="3" s="1"/>
  <c r="N19" i="2"/>
  <c r="D23" i="2"/>
  <c r="D17" i="3" s="1"/>
  <c r="D30" i="2"/>
  <c r="F5" i="3" s="1"/>
  <c r="D18" i="2"/>
  <c r="D31" i="2"/>
  <c r="F12" i="3" s="1"/>
  <c r="D24" i="2"/>
  <c r="D18" i="3" s="1"/>
  <c r="D20" i="2"/>
  <c r="D14" i="3" s="1"/>
  <c r="D22" i="2"/>
  <c r="D16" i="3" s="1"/>
  <c r="D21" i="2"/>
  <c r="D15" i="3" s="1"/>
  <c r="D35" i="2"/>
  <c r="F17" i="3" s="1"/>
  <c r="D33" i="2"/>
  <c r="F15" i="3" s="1"/>
  <c r="D34" i="2"/>
  <c r="F16" i="3" s="1"/>
  <c r="D32" i="2"/>
  <c r="F14" i="3" s="1"/>
  <c r="C26" i="2"/>
  <c r="I10" i="3" l="1"/>
  <c r="I11" i="3" s="1"/>
  <c r="D5" i="3"/>
  <c r="D19" i="3" s="1"/>
  <c r="D25" i="2"/>
  <c r="C19" i="3"/>
  <c r="D36" i="2"/>
  <c r="F18" i="3" s="1"/>
  <c r="D37" i="2"/>
  <c r="D26" i="2"/>
  <c r="I15" i="3" l="1"/>
  <c r="F19" i="3"/>
  <c r="D27" i="6"/>
  <c r="I16" i="3" l="1"/>
  <c r="I17" i="3" s="1"/>
  <c r="I18" i="3" s="1"/>
  <c r="I19" i="3" l="1"/>
  <c r="I20" i="3" s="1"/>
  <c r="I21" i="3" s="1"/>
  <c r="I22" i="3" s="1"/>
  <c r="I23" i="3" l="1"/>
  <c r="I24" i="3" s="1"/>
  <c r="I25" i="3" s="1"/>
  <c r="I26" i="3" s="1"/>
  <c r="I27" i="3" l="1"/>
  <c r="I28" i="3" l="1"/>
  <c r="I29" i="3" l="1"/>
  <c r="I30" i="3" s="1"/>
  <c r="I31" i="3" s="1"/>
  <c r="I32" i="3" l="1"/>
  <c r="I33" i="3" s="1"/>
  <c r="I34" i="3" s="1"/>
  <c r="I35" i="3" s="1"/>
  <c r="I36" i="3" l="1"/>
  <c r="I37" i="3" s="1"/>
  <c r="I38" i="3" s="1"/>
  <c r="I39" i="3" l="1"/>
  <c r="I40" i="3" s="1"/>
  <c r="I41" i="3" s="1"/>
  <c r="I42" i="3" s="1"/>
  <c r="I43" i="3" l="1"/>
  <c r="I44" i="3" s="1"/>
  <c r="I45" i="3" l="1"/>
  <c r="I46" i="3" l="1"/>
  <c r="I47" i="3" s="1"/>
  <c r="I48" i="3" s="1"/>
  <c r="I49" i="3" l="1"/>
  <c r="I50" i="3" s="1"/>
  <c r="I51" i="3" s="1"/>
  <c r="I52" i="3" l="1"/>
  <c r="I53" i="3" s="1"/>
  <c r="I54" i="3" s="1"/>
  <c r="I4" i="3" l="1"/>
  <c r="J14" i="3"/>
  <c r="J15" i="3" s="1"/>
  <c r="I55" i="3"/>
  <c r="I56" i="3" s="1"/>
  <c r="I57" i="3" s="1"/>
  <c r="J16" i="3" l="1"/>
  <c r="J17" i="3" s="1"/>
  <c r="J18" i="3" s="1"/>
  <c r="I5" i="3"/>
  <c r="J19" i="3" l="1"/>
  <c r="J20" i="3" s="1"/>
  <c r="J21" i="3" s="1"/>
  <c r="J22" i="3" l="1"/>
  <c r="J23" i="3" s="1"/>
  <c r="J24" i="3" l="1"/>
  <c r="J25" i="3" s="1"/>
  <c r="J26" i="3" s="1"/>
  <c r="J27" i="3" s="1"/>
  <c r="J28" i="3" s="1"/>
  <c r="J29" i="3" l="1"/>
  <c r="J30" i="3" s="1"/>
  <c r="J31" i="3" s="1"/>
  <c r="J32" i="3" l="1"/>
  <c r="J33" i="3" s="1"/>
  <c r="J34" i="3" s="1"/>
  <c r="J35" i="3" s="1"/>
  <c r="J36" i="3" l="1"/>
  <c r="J37" i="3" s="1"/>
  <c r="J38" i="3" s="1"/>
  <c r="J39" i="3" l="1"/>
  <c r="J40" i="3" s="1"/>
  <c r="J41" i="3" s="1"/>
  <c r="J42" i="3" l="1"/>
  <c r="J43" i="3" s="1"/>
  <c r="J44" i="3" s="1"/>
  <c r="J45" i="3" s="1"/>
  <c r="J46" i="3" l="1"/>
  <c r="J47" i="3" s="1"/>
  <c r="J48" i="3" s="1"/>
  <c r="J49" i="3" l="1"/>
  <c r="J50" i="3" s="1"/>
  <c r="J51" i="3" s="1"/>
  <c r="J52" i="3" l="1"/>
  <c r="J53" i="3" s="1"/>
  <c r="J54" i="3" s="1"/>
  <c r="K14" i="3" l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J55" i="3"/>
  <c r="J56" i="3" s="1"/>
  <c r="J57" i="3" s="1"/>
  <c r="K39" i="3" l="1"/>
  <c r="K40" i="3" s="1"/>
  <c r="K41" i="3" s="1"/>
  <c r="K42" i="3" s="1"/>
  <c r="K43" i="3" l="1"/>
  <c r="K44" i="3" s="1"/>
  <c r="K45" i="3" s="1"/>
  <c r="K46" i="3" l="1"/>
  <c r="K47" i="3" s="1"/>
  <c r="K48" i="3" s="1"/>
  <c r="K49" i="3" l="1"/>
  <c r="K50" i="3" s="1"/>
  <c r="K51" i="3" s="1"/>
  <c r="K52" i="3" l="1"/>
  <c r="K53" i="3" s="1"/>
  <c r="K54" i="3" s="1"/>
  <c r="L14" i="3" l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K55" i="3"/>
  <c r="K56" i="3" s="1"/>
  <c r="K57" i="3" s="1"/>
  <c r="L43" i="3" l="1"/>
  <c r="L44" i="3" s="1"/>
  <c r="L45" i="3" s="1"/>
  <c r="L46" i="3" l="1"/>
  <c r="L47" i="3" s="1"/>
  <c r="L48" i="3" s="1"/>
  <c r="L49" i="3" l="1"/>
  <c r="L50" i="3" s="1"/>
  <c r="L51" i="3" s="1"/>
  <c r="L52" i="3" s="1"/>
  <c r="L53" i="3" l="1"/>
  <c r="L54" i="3" s="1"/>
  <c r="L55" i="3" l="1"/>
  <c r="L56" i="3" s="1"/>
  <c r="L57" i="3" s="1"/>
  <c r="M14" i="3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l="1"/>
  <c r="M44" i="3" s="1"/>
  <c r="M45" i="3" s="1"/>
  <c r="M46" i="3" s="1"/>
  <c r="M47" i="3" s="1"/>
  <c r="M48" i="3" s="1"/>
  <c r="M49" i="3" s="1"/>
  <c r="M50" i="3" s="1"/>
  <c r="M51" i="3" s="1"/>
  <c r="M52" i="3" s="1"/>
  <c r="M53" i="3" l="1"/>
  <c r="M54" i="3" s="1"/>
  <c r="J4" i="3" s="1"/>
  <c r="J5" i="3" s="1"/>
  <c r="M55" i="3" l="1"/>
  <c r="M56" i="3" s="1"/>
  <c r="N56" i="3" l="1"/>
  <c r="H6" i="3" s="1"/>
  <c r="M57" i="3"/>
  <c r="N57" i="3" s="1"/>
</calcChain>
</file>

<file path=xl/sharedStrings.xml><?xml version="1.0" encoding="utf-8"?>
<sst xmlns="http://schemas.openxmlformats.org/spreadsheetml/2006/main" count="382" uniqueCount="128">
  <si>
    <t>£ Costs</t>
  </si>
  <si>
    <t>% of investment cost</t>
  </si>
  <si>
    <t>Product Costs</t>
  </si>
  <si>
    <t>£</t>
  </si>
  <si>
    <t>%</t>
  </si>
  <si>
    <t>Subsequent Years</t>
  </si>
  <si>
    <t>Fund Name</t>
  </si>
  <si>
    <t>OCF</t>
  </si>
  <si>
    <t>Transaction</t>
  </si>
  <si>
    <t>Value</t>
  </si>
  <si>
    <t>Investment Management Costs</t>
  </si>
  <si>
    <t>Client Name:</t>
  </si>
  <si>
    <t>Total</t>
  </si>
  <si>
    <t>This calculator can be used to find the average weighting OCFs and transaction charges.</t>
  </si>
  <si>
    <t>Cost Category</t>
  </si>
  <si>
    <t>First Year Charge</t>
  </si>
  <si>
    <t xml:space="preserve"> </t>
  </si>
  <si>
    <t>Investment Manager Charges inc VAT</t>
  </si>
  <si>
    <r>
      <t>Dealing Charges</t>
    </r>
    <r>
      <rPr>
        <sz val="10"/>
        <color rgb="FFFF0000"/>
        <rFont val="Arial"/>
        <family val="2"/>
      </rPr>
      <t/>
    </r>
  </si>
  <si>
    <t>Underlying Investment Transaction Charges</t>
  </si>
  <si>
    <t>Aggregated Investment Charges</t>
  </si>
  <si>
    <t>Underlying Investments Calculator</t>
  </si>
  <si>
    <t>n/a</t>
  </si>
  <si>
    <t>Fundsmith Equity</t>
  </si>
  <si>
    <t>Liontrust Special Situations</t>
  </si>
  <si>
    <t xml:space="preserve">Total Aggregated Costs </t>
  </si>
  <si>
    <t>Product 1</t>
  </si>
  <si>
    <t>Type</t>
  </si>
  <si>
    <t>Adviser</t>
  </si>
  <si>
    <t>Initial</t>
  </si>
  <si>
    <t>Ongoing</t>
  </si>
  <si>
    <t>Incidental</t>
  </si>
  <si>
    <t>Product</t>
  </si>
  <si>
    <t>Investment</t>
  </si>
  <si>
    <t>DFM Charge Inc VAT</t>
  </si>
  <si>
    <t>Dealing Charges</t>
  </si>
  <si>
    <t>First Year</t>
  </si>
  <si>
    <t>Charge Level</t>
  </si>
  <si>
    <t>Product 2</t>
  </si>
  <si>
    <t>Product 3</t>
  </si>
  <si>
    <t>Product 4</t>
  </si>
  <si>
    <t>Product 5</t>
  </si>
  <si>
    <t>Assumed Net Growth (after charges):</t>
  </si>
  <si>
    <t>Total Adviser Initial Charges</t>
  </si>
  <si>
    <t>Total Product Initial Charges</t>
  </si>
  <si>
    <t>Investment Total (after day 1 charges):</t>
  </si>
  <si>
    <t>Total Ongoing Adviser Charges</t>
  </si>
  <si>
    <t>Total Service Costs</t>
  </si>
  <si>
    <t>Total Product Costs</t>
  </si>
  <si>
    <t>Total Investment Costs</t>
  </si>
  <si>
    <t>Total Ongoing Product Charges</t>
  </si>
  <si>
    <t>Total Investment Charges</t>
  </si>
  <si>
    <t>Total Aggregated Charges</t>
  </si>
  <si>
    <t>Sub-Total</t>
  </si>
  <si>
    <t>Total Capital Sum</t>
  </si>
  <si>
    <t>Product 1 Name:</t>
  </si>
  <si>
    <t>Product 2 Name:</t>
  </si>
  <si>
    <t>Product 1 Value:</t>
  </si>
  <si>
    <t>Product 4 Name:</t>
  </si>
  <si>
    <t>Product 3 Name:</t>
  </si>
  <si>
    <t>Product 5 Name:</t>
  </si>
  <si>
    <t>Product 2 Value:</t>
  </si>
  <si>
    <t>Product 3 Value:</t>
  </si>
  <si>
    <t>Product 4 Value:</t>
  </si>
  <si>
    <t>Product 5 Value:</t>
  </si>
  <si>
    <t>Date Completed:</t>
  </si>
  <si>
    <t>5 Years</t>
  </si>
  <si>
    <t>1 Year</t>
  </si>
  <si>
    <t>What you might get back after charges</t>
  </si>
  <si>
    <t>What you might get back if there were no charges</t>
  </si>
  <si>
    <t xml:space="preserve">Aggregated Product Charges </t>
  </si>
  <si>
    <t>OCF £</t>
  </si>
  <si>
    <t>Transaction £</t>
  </si>
  <si>
    <t>Workings</t>
  </si>
  <si>
    <t>Reduction in profit £</t>
  </si>
  <si>
    <t>Underlying Investment Management Charges</t>
  </si>
  <si>
    <t>Total Ongoing Charges</t>
  </si>
  <si>
    <t xml:space="preserve">Critical Yield </t>
  </si>
  <si>
    <t>Reduction in Yield</t>
  </si>
  <si>
    <t>Year 1</t>
  </si>
  <si>
    <t>Year 3</t>
  </si>
  <si>
    <t>Year 4</t>
  </si>
  <si>
    <t>Year 5</t>
  </si>
  <si>
    <t xml:space="preserve">Profit </t>
  </si>
  <si>
    <t>Our Services (inclusive of VAT where relevant)</t>
  </si>
  <si>
    <t>End of year after charges</t>
  </si>
  <si>
    <t>Initial £</t>
  </si>
  <si>
    <t>Ongoing £</t>
  </si>
  <si>
    <t>Advice fees if to be paid outside of products</t>
  </si>
  <si>
    <t>Daily Growth</t>
  </si>
  <si>
    <t>Daily OCF</t>
  </si>
  <si>
    <t>Daily Net Growth</t>
  </si>
  <si>
    <r>
      <t xml:space="preserve">OCF </t>
    </r>
    <r>
      <rPr>
        <i/>
        <sz val="10"/>
        <color rgb="FFFF0000"/>
        <rFont val="Arial"/>
        <family val="2"/>
      </rPr>
      <t>daily</t>
    </r>
  </si>
  <si>
    <r>
      <t xml:space="preserve">Transaction </t>
    </r>
    <r>
      <rPr>
        <i/>
        <sz val="10"/>
        <color rgb="FFFF0000"/>
        <rFont val="Arial"/>
        <family val="2"/>
      </rPr>
      <t>daily</t>
    </r>
  </si>
  <si>
    <r>
      <t xml:space="preserve">Dealing Charges </t>
    </r>
    <r>
      <rPr>
        <i/>
        <sz val="10"/>
        <color rgb="FFFF0000"/>
        <rFont val="Arial"/>
        <family val="2"/>
      </rPr>
      <t>monthly</t>
    </r>
  </si>
  <si>
    <r>
      <t xml:space="preserve">DFM Charge Inc VAT </t>
    </r>
    <r>
      <rPr>
        <i/>
        <sz val="10"/>
        <color rgb="FFFF0000"/>
        <rFont val="Arial"/>
        <family val="2"/>
      </rPr>
      <t>monthly</t>
    </r>
  </si>
  <si>
    <r>
      <t xml:space="preserve">Total Ongoing Adviser Charges </t>
    </r>
    <r>
      <rPr>
        <i/>
        <sz val="10"/>
        <color rgb="FFFF0000"/>
        <rFont val="Arial"/>
        <family val="2"/>
      </rPr>
      <t>quarterly</t>
    </r>
  </si>
  <si>
    <t>monthly charges</t>
  </si>
  <si>
    <t>end of month 2</t>
  </si>
  <si>
    <t>end of month 3</t>
  </si>
  <si>
    <t>end of month 4</t>
  </si>
  <si>
    <t>end of month 5</t>
  </si>
  <si>
    <t>end of month 6</t>
  </si>
  <si>
    <t>end of month 7</t>
  </si>
  <si>
    <t>end of month 8</t>
  </si>
  <si>
    <t>end of month 9</t>
  </si>
  <si>
    <t>end of month 10</t>
  </si>
  <si>
    <t>end of month 11</t>
  </si>
  <si>
    <t xml:space="preserve">Year 2 </t>
  </si>
  <si>
    <t>Start of year (capital sum minus any day one charges)</t>
  </si>
  <si>
    <t>end of month 1 total</t>
  </si>
  <si>
    <r>
      <t>Calculation</t>
    </r>
    <r>
      <rPr>
        <b/>
        <sz val="10"/>
        <color rgb="FFFF0000"/>
        <rFont val="Arial"/>
        <family val="2"/>
      </rPr>
      <t xml:space="preserve"> (changing this will alter the table above)</t>
    </r>
  </si>
  <si>
    <r>
      <t xml:space="preserve">end of month before </t>
    </r>
    <r>
      <rPr>
        <b/>
        <sz val="10"/>
        <color theme="1"/>
        <rFont val="Arial"/>
        <family val="2"/>
      </rPr>
      <t>monthly</t>
    </r>
    <r>
      <rPr>
        <sz val="10"/>
        <color theme="1"/>
        <rFont val="Arial"/>
        <family val="2"/>
      </rPr>
      <t xml:space="preserve"> charges</t>
    </r>
  </si>
  <si>
    <r>
      <rPr>
        <b/>
        <sz val="10"/>
        <color theme="1"/>
        <rFont val="Arial"/>
        <family val="2"/>
      </rPr>
      <t>quarterly</t>
    </r>
    <r>
      <rPr>
        <sz val="10"/>
        <color theme="1"/>
        <rFont val="Arial"/>
        <family val="2"/>
      </rPr>
      <t xml:space="preserve"> charges</t>
    </r>
  </si>
  <si>
    <t xml:space="preserve">The daily growth is derived from the assumed growth (cell D12 on the Data page). </t>
  </si>
  <si>
    <t>It is then reverse-compounded to a daily figure.</t>
  </si>
  <si>
    <t xml:space="preserve">OCF is generally applied daily and reflected in the ongoing unit prices. </t>
  </si>
  <si>
    <t>The quoted OCF is assumed not to be compounded and therefore can be divided into 365 portions.</t>
  </si>
  <si>
    <t>The daily net growth is therefore known and applied daily against the starting value (after day 1 charges for year 1).</t>
  </si>
  <si>
    <t>At the end of the month further charges are deducted. Ordinarily, these are the DFM and platform charges (where applicable).</t>
  </si>
  <si>
    <t>Those charges are deducted 12 times a year, as a 12th of the calculated figure for those charges.</t>
  </si>
  <si>
    <t>Finally, we assume the ongoing advice charge is deducted quarterly based on the value of the investment at that time.</t>
  </si>
  <si>
    <t>The charge is then divided into 4 and deducted from the investment.</t>
  </si>
  <si>
    <t xml:space="preserve">At the end of each year the Profit is known - including intial charges for year 1. </t>
  </si>
  <si>
    <t>The critical yield is the profit divided by the starting value. The reduction in yield is the assumed growth minus the critical yield.</t>
  </si>
  <si>
    <r>
      <t>Total Ongoing Product Charges</t>
    </r>
    <r>
      <rPr>
        <i/>
        <sz val="10"/>
        <color rgb="FFFF0000"/>
        <rFont val="Arial"/>
        <family val="2"/>
      </rPr>
      <t xml:space="preserve"> monthly</t>
    </r>
  </si>
  <si>
    <t>Initial Advice Charge (our firm name)</t>
  </si>
  <si>
    <t>Ongoing Advice Charges (our firm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</si>
</sst>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0.000%"/>
    <numFmt numFmtId="166" formatCode="&quot;£&quot;#,##0;[Red]&quot;£&quot;#,##0"/>
    <numFmt numFmtId="167" formatCode="&quot;£&quot;#,##0"/>
    <numFmt numFmtId="169" formatCode="0.0000000000%"/>
    <numFmt numFmtId="170" formatCode="0.0000000%"/>
    <numFmt numFmtId="171" formatCode="0.000000000%"/>
    <numFmt numFmtId="173" formatCode="0.0000%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0" tint="-0.499984740745262"/>
      <name val="Arial"/>
      <family val="2"/>
    </font>
    <font>
      <b/>
      <i/>
      <sz val="10"/>
      <color theme="1" tint="0.499984740745262"/>
      <name val="Arial"/>
      <family val="2"/>
    </font>
    <font>
      <i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rgb="FFFEF0CF"/>
        <bgColor indexed="64"/>
      </patternFill>
    </fill>
    <fill>
      <patternFill patternType="solid">
        <fgColor rgb="FFFEE2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164" fontId="0" fillId="0" borderId="0" xfId="0" applyNumberFormat="1"/>
    <xf numFmtId="0" fontId="0" fillId="0" borderId="0" xfId="0" applyBorder="1"/>
    <xf numFmtId="10" fontId="3" fillId="3" borderId="1" xfId="1" applyNumberFormat="1" applyFont="1" applyFill="1" applyBorder="1"/>
    <xf numFmtId="0" fontId="2" fillId="0" borderId="16" xfId="0" applyFont="1" applyBorder="1"/>
    <xf numFmtId="0" fontId="3" fillId="3" borderId="14" xfId="0" applyFont="1" applyFill="1" applyBorder="1"/>
    <xf numFmtId="0" fontId="3" fillId="0" borderId="0" xfId="0" applyFont="1" applyBorder="1"/>
    <xf numFmtId="0" fontId="3" fillId="3" borderId="22" xfId="0" applyFont="1" applyFill="1" applyBorder="1"/>
    <xf numFmtId="0" fontId="7" fillId="5" borderId="25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6" fontId="6" fillId="6" borderId="29" xfId="0" applyNumberFormat="1" applyFont="1" applyFill="1" applyBorder="1" applyAlignment="1">
      <alignment horizontal="center" vertical="center" wrapText="1"/>
    </xf>
    <xf numFmtId="10" fontId="6" fillId="6" borderId="29" xfId="0" applyNumberFormat="1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vertical="center" wrapText="1"/>
    </xf>
    <xf numFmtId="6" fontId="6" fillId="7" borderId="29" xfId="0" applyNumberFormat="1" applyFont="1" applyFill="1" applyBorder="1" applyAlignment="1">
      <alignment horizontal="center" vertical="center" wrapText="1"/>
    </xf>
    <xf numFmtId="10" fontId="6" fillId="7" borderId="2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0" fontId="6" fillId="6" borderId="29" xfId="1" applyNumberFormat="1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right" vertical="center" wrapText="1"/>
    </xf>
    <xf numFmtId="6" fontId="7" fillId="7" borderId="29" xfId="0" applyNumberFormat="1" applyFont="1" applyFill="1" applyBorder="1" applyAlignment="1">
      <alignment horizontal="center" vertical="center" wrapText="1"/>
    </xf>
    <xf numFmtId="10" fontId="7" fillId="7" borderId="29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left" vertical="center" wrapText="1"/>
    </xf>
    <xf numFmtId="6" fontId="7" fillId="6" borderId="29" xfId="0" applyNumberFormat="1" applyFont="1" applyFill="1" applyBorder="1" applyAlignment="1">
      <alignment horizontal="center" vertical="center" wrapText="1"/>
    </xf>
    <xf numFmtId="10" fontId="7" fillId="6" borderId="29" xfId="0" applyNumberFormat="1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right" vertical="center" wrapText="1"/>
    </xf>
    <xf numFmtId="10" fontId="7" fillId="5" borderId="26" xfId="1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vertical="center"/>
    </xf>
    <xf numFmtId="6" fontId="9" fillId="6" borderId="29" xfId="0" applyNumberFormat="1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vertical="center"/>
    </xf>
    <xf numFmtId="6" fontId="9" fillId="7" borderId="29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3" fillId="3" borderId="11" xfId="0" applyNumberFormat="1" applyFont="1" applyFill="1" applyBorder="1"/>
    <xf numFmtId="164" fontId="3" fillId="3" borderId="33" xfId="0" applyNumberFormat="1" applyFont="1" applyFill="1" applyBorder="1"/>
    <xf numFmtId="10" fontId="3" fillId="3" borderId="11" xfId="1" applyNumberFormat="1" applyFont="1" applyFill="1" applyBorder="1"/>
    <xf numFmtId="10" fontId="3" fillId="3" borderId="21" xfId="1" applyNumberFormat="1" applyFont="1" applyFill="1" applyBorder="1"/>
    <xf numFmtId="0" fontId="2" fillId="4" borderId="16" xfId="0" applyFont="1" applyFill="1" applyBorder="1" applyAlignment="1">
      <alignment horizontal="right"/>
    </xf>
    <xf numFmtId="164" fontId="2" fillId="4" borderId="17" xfId="0" applyNumberFormat="1" applyFont="1" applyFill="1" applyBorder="1"/>
    <xf numFmtId="10" fontId="2" fillId="4" borderId="17" xfId="1" applyNumberFormat="1" applyFont="1" applyFill="1" applyBorder="1"/>
    <xf numFmtId="0" fontId="8" fillId="0" borderId="0" xfId="0" applyFont="1" applyFill="1" applyBorder="1" applyAlignment="1">
      <alignment vertical="center"/>
    </xf>
    <xf numFmtId="0" fontId="9" fillId="7" borderId="28" xfId="0" applyFont="1" applyFill="1" applyBorder="1" applyAlignment="1">
      <alignment vertical="center" wrapText="1"/>
    </xf>
    <xf numFmtId="0" fontId="11" fillId="3" borderId="12" xfId="0" applyFont="1" applyFill="1" applyBorder="1"/>
    <xf numFmtId="0" fontId="11" fillId="3" borderId="14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7" fontId="7" fillId="5" borderId="26" xfId="1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67" fontId="7" fillId="5" borderId="2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0" fontId="3" fillId="3" borderId="19" xfId="1" applyNumberFormat="1" applyFont="1" applyFill="1" applyBorder="1"/>
    <xf numFmtId="10" fontId="3" fillId="3" borderId="5" xfId="1" applyNumberFormat="1" applyFont="1" applyFill="1" applyBorder="1"/>
    <xf numFmtId="10" fontId="3" fillId="3" borderId="34" xfId="1" applyNumberFormat="1" applyFont="1" applyFill="1" applyBorder="1"/>
    <xf numFmtId="10" fontId="2" fillId="4" borderId="46" xfId="1" applyNumberFormat="1" applyFont="1" applyFill="1" applyBorder="1"/>
    <xf numFmtId="164" fontId="3" fillId="0" borderId="14" xfId="0" applyNumberFormat="1" applyFont="1" applyBorder="1"/>
    <xf numFmtId="164" fontId="3" fillId="0" borderId="12" xfId="0" applyNumberFormat="1" applyFont="1" applyBorder="1"/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3" fillId="0" borderId="13" xfId="0" applyNumberFormat="1" applyFont="1" applyBorder="1"/>
    <xf numFmtId="164" fontId="3" fillId="0" borderId="15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164" fontId="2" fillId="0" borderId="16" xfId="0" applyNumberFormat="1" applyFont="1" applyBorder="1"/>
    <xf numFmtId="164" fontId="2" fillId="0" borderId="18" xfId="0" applyNumberFormat="1" applyFont="1" applyBorder="1"/>
    <xf numFmtId="0" fontId="8" fillId="6" borderId="47" xfId="0" applyFont="1" applyFill="1" applyBorder="1" applyAlignment="1">
      <alignment vertical="center"/>
    </xf>
    <xf numFmtId="0" fontId="12" fillId="0" borderId="0" xfId="0" applyFont="1" applyBorder="1"/>
    <xf numFmtId="10" fontId="12" fillId="0" borderId="1" xfId="0" applyNumberFormat="1" applyFont="1" applyBorder="1"/>
    <xf numFmtId="166" fontId="10" fillId="6" borderId="48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10" fontId="0" fillId="0" borderId="0" xfId="1" applyNumberFormat="1" applyFont="1"/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Font="1"/>
    <xf numFmtId="164" fontId="12" fillId="8" borderId="33" xfId="0" applyNumberFormat="1" applyFont="1" applyFill="1" applyBorder="1"/>
    <xf numFmtId="164" fontId="12" fillId="8" borderId="11" xfId="0" applyNumberFormat="1" applyFont="1" applyFill="1" applyBorder="1"/>
    <xf numFmtId="0" fontId="13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10" fontId="13" fillId="0" borderId="0" xfId="1" applyNumberFormat="1" applyFont="1" applyBorder="1" applyAlignment="1">
      <alignment horizontal="center"/>
    </xf>
    <xf numFmtId="164" fontId="12" fillId="8" borderId="52" xfId="0" applyNumberFormat="1" applyFont="1" applyFill="1" applyBorder="1"/>
    <xf numFmtId="14" fontId="12" fillId="3" borderId="4" xfId="0" applyNumberFormat="1" applyFont="1" applyFill="1" applyBorder="1" applyAlignment="1">
      <alignment horizontal="left"/>
    </xf>
    <xf numFmtId="0" fontId="12" fillId="3" borderId="4" xfId="0" applyFont="1" applyFill="1" applyBorder="1"/>
    <xf numFmtId="0" fontId="12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/>
    <xf numFmtId="14" fontId="12" fillId="0" borderId="0" xfId="0" applyNumberFormat="1" applyFont="1" applyAlignment="1">
      <alignment horizontal="left" vertical="top"/>
    </xf>
    <xf numFmtId="14" fontId="12" fillId="3" borderId="44" xfId="0" applyNumberFormat="1" applyFont="1" applyFill="1" applyBorder="1" applyAlignment="1">
      <alignment vertical="top"/>
    </xf>
    <xf numFmtId="164" fontId="12" fillId="3" borderId="31" xfId="0" applyNumberFormat="1" applyFont="1" applyFill="1" applyBorder="1"/>
    <xf numFmtId="164" fontId="12" fillId="0" borderId="0" xfId="0" applyNumberFormat="1" applyFont="1"/>
    <xf numFmtId="14" fontId="12" fillId="3" borderId="1" xfId="0" applyNumberFormat="1" applyFont="1" applyFill="1" applyBorder="1" applyAlignment="1">
      <alignment vertical="top"/>
    </xf>
    <xf numFmtId="164" fontId="12" fillId="3" borderId="15" xfId="0" applyNumberFormat="1" applyFont="1" applyFill="1" applyBorder="1"/>
    <xf numFmtId="0" fontId="13" fillId="0" borderId="1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5" fillId="8" borderId="0" xfId="0" applyFont="1" applyFill="1"/>
    <xf numFmtId="0" fontId="12" fillId="10" borderId="11" xfId="0" applyFont="1" applyFill="1" applyBorder="1" applyAlignment="1">
      <alignment horizontal="left"/>
    </xf>
    <xf numFmtId="164" fontId="12" fillId="3" borderId="11" xfId="0" applyNumberFormat="1" applyFont="1" applyFill="1" applyBorder="1" applyAlignment="1"/>
    <xf numFmtId="165" fontId="12" fillId="3" borderId="19" xfId="1" applyNumberFormat="1" applyFont="1" applyFill="1" applyBorder="1" applyAlignment="1"/>
    <xf numFmtId="164" fontId="12" fillId="4" borderId="11" xfId="0" applyNumberFormat="1" applyFont="1" applyFill="1" applyBorder="1"/>
    <xf numFmtId="10" fontId="12" fillId="4" borderId="11" xfId="0" applyNumberFormat="1" applyFont="1" applyFill="1" applyBorder="1"/>
    <xf numFmtId="164" fontId="14" fillId="0" borderId="11" xfId="0" applyNumberFormat="1" applyFont="1" applyFill="1" applyBorder="1" applyAlignment="1">
      <alignment horizontal="center"/>
    </xf>
    <xf numFmtId="165" fontId="14" fillId="0" borderId="19" xfId="1" applyNumberFormat="1" applyFont="1" applyFill="1" applyBorder="1" applyAlignment="1">
      <alignment horizontal="center"/>
    </xf>
    <xf numFmtId="10" fontId="14" fillId="0" borderId="11" xfId="0" applyNumberFormat="1" applyFont="1" applyFill="1" applyBorder="1" applyAlignment="1">
      <alignment horizontal="center"/>
    </xf>
    <xf numFmtId="164" fontId="5" fillId="8" borderId="0" xfId="0" applyNumberFormat="1" applyFont="1" applyFill="1"/>
    <xf numFmtId="164" fontId="12" fillId="4" borderId="1" xfId="0" applyNumberFormat="1" applyFont="1" applyFill="1" applyBorder="1"/>
    <xf numFmtId="10" fontId="12" fillId="4" borderId="1" xfId="0" applyNumberFormat="1" applyFont="1" applyFill="1" applyBorder="1"/>
    <xf numFmtId="14" fontId="12" fillId="3" borderId="40" xfId="0" applyNumberFormat="1" applyFont="1" applyFill="1" applyBorder="1" applyAlignment="1">
      <alignment vertical="top"/>
    </xf>
    <xf numFmtId="164" fontId="12" fillId="3" borderId="45" xfId="0" applyNumberFormat="1" applyFont="1" applyFill="1" applyBorder="1"/>
    <xf numFmtId="164" fontId="15" fillId="10" borderId="1" xfId="0" applyNumberFormat="1" applyFont="1" applyFill="1" applyBorder="1"/>
    <xf numFmtId="10" fontId="15" fillId="10" borderId="1" xfId="0" applyNumberFormat="1" applyFont="1" applyFill="1" applyBorder="1"/>
    <xf numFmtId="164" fontId="16" fillId="10" borderId="1" xfId="0" applyNumberFormat="1" applyFont="1" applyFill="1" applyBorder="1"/>
    <xf numFmtId="10" fontId="16" fillId="10" borderId="1" xfId="0" applyNumberFormat="1" applyFont="1" applyFill="1" applyBorder="1"/>
    <xf numFmtId="9" fontId="12" fillId="0" borderId="0" xfId="1" applyFont="1"/>
    <xf numFmtId="0" fontId="12" fillId="11" borderId="1" xfId="0" applyFont="1" applyFill="1" applyBorder="1"/>
    <xf numFmtId="164" fontId="12" fillId="3" borderId="1" xfId="0" applyNumberFormat="1" applyFont="1" applyFill="1" applyBorder="1" applyAlignment="1"/>
    <xf numFmtId="165" fontId="12" fillId="3" borderId="5" xfId="1" applyNumberFormat="1" applyFont="1" applyFill="1" applyBorder="1" applyAlignment="1"/>
    <xf numFmtId="164" fontId="14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/>
    </xf>
    <xf numFmtId="164" fontId="13" fillId="0" borderId="38" xfId="0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6" fillId="11" borderId="1" xfId="0" applyNumberFormat="1" applyFont="1" applyFill="1" applyBorder="1"/>
    <xf numFmtId="10" fontId="16" fillId="11" borderId="1" xfId="0" applyNumberFormat="1" applyFont="1" applyFill="1" applyBorder="1"/>
    <xf numFmtId="0" fontId="12" fillId="12" borderId="1" xfId="0" applyFont="1" applyFill="1" applyBorder="1"/>
    <xf numFmtId="165" fontId="12" fillId="3" borderId="1" xfId="1" applyNumberFormat="1" applyFont="1" applyFill="1" applyBorder="1" applyAlignment="1"/>
    <xf numFmtId="0" fontId="12" fillId="0" borderId="1" xfId="0" applyFont="1" applyBorder="1" applyAlignment="1">
      <alignment horizontal="left"/>
    </xf>
    <xf numFmtId="164" fontId="12" fillId="0" borderId="1" xfId="0" applyNumberFormat="1" applyFont="1" applyFill="1" applyBorder="1" applyAlignment="1">
      <alignment horizontal="right"/>
    </xf>
    <xf numFmtId="10" fontId="12" fillId="0" borderId="1" xfId="1" applyNumberFormat="1" applyFont="1" applyBorder="1" applyAlignment="1"/>
    <xf numFmtId="10" fontId="12" fillId="0" borderId="1" xfId="0" applyNumberFormat="1" applyFont="1" applyBorder="1" applyAlignment="1"/>
    <xf numFmtId="0" fontId="12" fillId="0" borderId="1" xfId="0" applyFont="1" applyBorder="1"/>
    <xf numFmtId="164" fontId="12" fillId="0" borderId="1" xfId="0" applyNumberFormat="1" applyFont="1" applyBorder="1"/>
    <xf numFmtId="10" fontId="12" fillId="0" borderId="1" xfId="1" applyNumberFormat="1" applyFont="1" applyBorder="1"/>
    <xf numFmtId="164" fontId="15" fillId="12" borderId="1" xfId="0" applyNumberFormat="1" applyFont="1" applyFill="1" applyBorder="1"/>
    <xf numFmtId="10" fontId="15" fillId="12" borderId="1" xfId="0" applyNumberFormat="1" applyFont="1" applyFill="1" applyBorder="1"/>
    <xf numFmtId="0" fontId="14" fillId="0" borderId="1" xfId="0" applyFont="1" applyFill="1" applyBorder="1" applyAlignment="1">
      <alignment horizontal="right"/>
    </xf>
    <xf numFmtId="164" fontId="14" fillId="0" borderId="1" xfId="0" applyNumberFormat="1" applyFont="1" applyBorder="1"/>
    <xf numFmtId="10" fontId="14" fillId="0" borderId="1" xfId="0" applyNumberFormat="1" applyFont="1" applyBorder="1"/>
    <xf numFmtId="164" fontId="13" fillId="4" borderId="11" xfId="0" applyNumberFormat="1" applyFont="1" applyFill="1" applyBorder="1"/>
    <xf numFmtId="10" fontId="13" fillId="4" borderId="11" xfId="0" applyNumberFormat="1" applyFont="1" applyFill="1" applyBorder="1"/>
    <xf numFmtId="0" fontId="12" fillId="0" borderId="20" xfId="0" applyFont="1" applyFill="1" applyBorder="1"/>
    <xf numFmtId="0" fontId="12" fillId="0" borderId="0" xfId="0" applyFont="1" applyFill="1" applyBorder="1"/>
    <xf numFmtId="0" fontId="13" fillId="0" borderId="1" xfId="0" applyFont="1" applyBorder="1"/>
    <xf numFmtId="164" fontId="13" fillId="0" borderId="1" xfId="0" applyNumberFormat="1" applyFont="1" applyBorder="1"/>
    <xf numFmtId="10" fontId="13" fillId="0" borderId="1" xfId="0" applyNumberFormat="1" applyFont="1" applyBorder="1"/>
    <xf numFmtId="0" fontId="5" fillId="0" borderId="0" xfId="0" applyFont="1" applyBorder="1" applyAlignment="1">
      <alignment horizontal="left" vertical="center" wrapText="1"/>
    </xf>
    <xf numFmtId="164" fontId="15" fillId="11" borderId="1" xfId="0" applyNumberFormat="1" applyFont="1" applyFill="1" applyBorder="1"/>
    <xf numFmtId="10" fontId="15" fillId="11" borderId="1" xfId="0" applyNumberFormat="1" applyFont="1" applyFill="1" applyBorder="1"/>
    <xf numFmtId="0" fontId="12" fillId="0" borderId="0" xfId="0" applyFont="1" applyBorder="1" applyAlignment="1">
      <alignment horizontal="right"/>
    </xf>
    <xf numFmtId="10" fontId="12" fillId="0" borderId="0" xfId="0" applyNumberFormat="1" applyFont="1" applyBorder="1"/>
    <xf numFmtId="164" fontId="13" fillId="0" borderId="0" xfId="0" applyNumberFormat="1" applyFont="1" applyFill="1" applyBorder="1"/>
    <xf numFmtId="10" fontId="13" fillId="0" borderId="0" xfId="0" applyNumberFormat="1" applyFont="1" applyFill="1" applyBorder="1"/>
    <xf numFmtId="0" fontId="5" fillId="0" borderId="0" xfId="0" applyFont="1" applyAlignment="1">
      <alignment vertical="top" wrapText="1"/>
    </xf>
    <xf numFmtId="10" fontId="12" fillId="3" borderId="19" xfId="1" applyNumberFormat="1" applyFont="1" applyFill="1" applyBorder="1" applyAlignment="1"/>
    <xf numFmtId="165" fontId="14" fillId="0" borderId="19" xfId="0" applyNumberFormat="1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165" fontId="12" fillId="3" borderId="19" xfId="0" applyNumberFormat="1" applyFont="1" applyFill="1" applyBorder="1" applyAlignment="1"/>
    <xf numFmtId="164" fontId="12" fillId="4" borderId="1" xfId="0" applyNumberFormat="1" applyFont="1" applyFill="1" applyBorder="1" applyAlignment="1">
      <alignment horizontal="right"/>
    </xf>
    <xf numFmtId="10" fontId="12" fillId="4" borderId="1" xfId="0" applyNumberFormat="1" applyFont="1" applyFill="1" applyBorder="1" applyAlignment="1">
      <alignment horizontal="right"/>
    </xf>
    <xf numFmtId="164" fontId="16" fillId="10" borderId="1" xfId="0" applyNumberFormat="1" applyFont="1" applyFill="1" applyBorder="1" applyAlignment="1">
      <alignment horizontal="right"/>
    </xf>
    <xf numFmtId="10" fontId="16" fillId="10" borderId="1" xfId="0" applyNumberFormat="1" applyFont="1" applyFill="1" applyBorder="1" applyAlignment="1">
      <alignment horizontal="right"/>
    </xf>
    <xf numFmtId="10" fontId="12" fillId="3" borderId="5" xfId="1" applyNumberFormat="1" applyFont="1" applyFill="1" applyBorder="1" applyAlignment="1"/>
    <xf numFmtId="164" fontId="16" fillId="11" borderId="1" xfId="0" applyNumberFormat="1" applyFont="1" applyFill="1" applyBorder="1" applyAlignment="1">
      <alignment horizontal="right"/>
    </xf>
    <xf numFmtId="10" fontId="16" fillId="11" borderId="1" xfId="0" applyNumberFormat="1" applyFont="1" applyFill="1" applyBorder="1" applyAlignment="1">
      <alignment horizontal="right"/>
    </xf>
    <xf numFmtId="10" fontId="12" fillId="3" borderId="1" xfId="1" applyNumberFormat="1" applyFont="1" applyFill="1" applyBorder="1" applyAlignment="1"/>
    <xf numFmtId="10" fontId="12" fillId="3" borderId="19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/>
    <xf numFmtId="10" fontId="12" fillId="0" borderId="0" xfId="1" applyNumberFormat="1" applyFont="1" applyFill="1" applyBorder="1"/>
    <xf numFmtId="10" fontId="12" fillId="0" borderId="0" xfId="0" applyNumberFormat="1" applyFont="1" applyFill="1" applyBorder="1"/>
    <xf numFmtId="164" fontId="12" fillId="0" borderId="0" xfId="0" applyNumberFormat="1" applyFont="1" applyFill="1" applyBorder="1" applyAlignment="1"/>
    <xf numFmtId="10" fontId="12" fillId="0" borderId="0" xfId="1" applyNumberFormat="1" applyFont="1" applyFill="1" applyBorder="1" applyAlignment="1"/>
    <xf numFmtId="10" fontId="12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10" fontId="13" fillId="0" borderId="0" xfId="1" applyNumberFormat="1" applyFont="1" applyFill="1" applyBorder="1" applyAlignment="1"/>
    <xf numFmtId="164" fontId="13" fillId="3" borderId="38" xfId="0" applyNumberFormat="1" applyFont="1" applyFill="1" applyBorder="1" applyAlignment="1">
      <alignment horizontal="center"/>
    </xf>
    <xf numFmtId="14" fontId="13" fillId="0" borderId="32" xfId="0" applyNumberFormat="1" applyFont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14" fontId="12" fillId="0" borderId="44" xfId="0" applyNumberFormat="1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vertical="center"/>
    </xf>
    <xf numFmtId="14" fontId="12" fillId="0" borderId="40" xfId="0" applyNumberFormat="1" applyFont="1" applyFill="1" applyBorder="1" applyAlignment="1">
      <alignment vertical="center"/>
    </xf>
    <xf numFmtId="164" fontId="13" fillId="0" borderId="32" xfId="0" applyNumberFormat="1" applyFont="1" applyFill="1" applyBorder="1" applyAlignment="1">
      <alignment horizontal="center"/>
    </xf>
    <xf numFmtId="8" fontId="12" fillId="0" borderId="0" xfId="0" applyNumberFormat="1" applyFont="1"/>
    <xf numFmtId="167" fontId="12" fillId="0" borderId="1" xfId="0" applyNumberFormat="1" applyFont="1" applyBorder="1"/>
    <xf numFmtId="0" fontId="13" fillId="0" borderId="1" xfId="0" applyFont="1" applyBorder="1" applyAlignment="1">
      <alignment horizontal="center"/>
    </xf>
    <xf numFmtId="169" fontId="12" fillId="0" borderId="52" xfId="0" applyNumberFormat="1" applyFont="1" applyBorder="1"/>
    <xf numFmtId="0" fontId="12" fillId="0" borderId="21" xfId="0" applyFont="1" applyBorder="1"/>
    <xf numFmtId="0" fontId="12" fillId="0" borderId="33" xfId="0" applyFont="1" applyBorder="1"/>
    <xf numFmtId="169" fontId="12" fillId="0" borderId="41" xfId="0" applyNumberFormat="1" applyFont="1" applyBorder="1"/>
    <xf numFmtId="0" fontId="13" fillId="0" borderId="11" xfId="0" applyFont="1" applyBorder="1"/>
    <xf numFmtId="169" fontId="12" fillId="0" borderId="0" xfId="0" applyNumberFormat="1" applyFont="1" applyBorder="1"/>
    <xf numFmtId="169" fontId="13" fillId="0" borderId="35" xfId="0" applyNumberFormat="1" applyFont="1" applyBorder="1"/>
    <xf numFmtId="8" fontId="12" fillId="0" borderId="33" xfId="0" applyNumberFormat="1" applyFont="1" applyBorder="1"/>
    <xf numFmtId="8" fontId="13" fillId="0" borderId="7" xfId="0" applyNumberFormat="1" applyFont="1" applyBorder="1"/>
    <xf numFmtId="164" fontId="13" fillId="0" borderId="1" xfId="0" applyNumberFormat="1" applyFont="1" applyFill="1" applyBorder="1"/>
    <xf numFmtId="8" fontId="12" fillId="0" borderId="1" xfId="0" applyNumberFormat="1" applyFont="1" applyBorder="1"/>
    <xf numFmtId="0" fontId="12" fillId="8" borderId="33" xfId="0" applyFont="1" applyFill="1" applyBorder="1"/>
    <xf numFmtId="0" fontId="12" fillId="8" borderId="21" xfId="0" applyFont="1" applyFill="1" applyBorder="1"/>
    <xf numFmtId="8" fontId="12" fillId="8" borderId="52" xfId="0" applyNumberFormat="1" applyFont="1" applyFill="1" applyBorder="1"/>
    <xf numFmtId="8" fontId="12" fillId="8" borderId="35" xfId="0" applyNumberFormat="1" applyFont="1" applyFill="1" applyBorder="1"/>
    <xf numFmtId="8" fontId="12" fillId="8" borderId="33" xfId="0" applyNumberFormat="1" applyFont="1" applyFill="1" applyBorder="1"/>
    <xf numFmtId="8" fontId="12" fillId="8" borderId="11" xfId="0" applyNumberFormat="1" applyFont="1" applyFill="1" applyBorder="1"/>
    <xf numFmtId="8" fontId="12" fillId="8" borderId="21" xfId="0" applyNumberFormat="1" applyFont="1" applyFill="1" applyBorder="1"/>
    <xf numFmtId="8" fontId="13" fillId="8" borderId="1" xfId="0" applyNumberFormat="1" applyFont="1" applyFill="1" applyBorder="1"/>
    <xf numFmtId="164" fontId="7" fillId="0" borderId="0" xfId="0" applyNumberFormat="1" applyFont="1" applyFill="1" applyBorder="1" applyAlignment="1">
      <alignment horizontal="left" vertical="center" wrapText="1"/>
    </xf>
    <xf numFmtId="10" fontId="9" fillId="0" borderId="0" xfId="1" applyNumberFormat="1" applyFont="1" applyFill="1" applyBorder="1" applyAlignment="1"/>
    <xf numFmtId="10" fontId="9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1" fontId="0" fillId="0" borderId="0" xfId="1" applyNumberFormat="1" applyFont="1"/>
    <xf numFmtId="171" fontId="0" fillId="0" borderId="0" xfId="0" applyNumberFormat="1"/>
    <xf numFmtId="170" fontId="0" fillId="0" borderId="0" xfId="0" applyNumberFormat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12" borderId="5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/>
    </xf>
    <xf numFmtId="164" fontId="15" fillId="10" borderId="5" xfId="1" applyNumberFormat="1" applyFont="1" applyFill="1" applyBorder="1" applyAlignment="1">
      <alignment horizontal="right"/>
    </xf>
    <xf numFmtId="164" fontId="15" fillId="10" borderId="7" xfId="1" applyNumberFormat="1" applyFont="1" applyFill="1" applyBorder="1" applyAlignment="1">
      <alignment horizontal="right"/>
    </xf>
    <xf numFmtId="0" fontId="13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14" fontId="13" fillId="0" borderId="42" xfId="0" applyNumberFormat="1" applyFont="1" applyBorder="1" applyAlignment="1">
      <alignment horizontal="center" vertical="top"/>
    </xf>
    <xf numFmtId="14" fontId="13" fillId="0" borderId="0" xfId="0" applyNumberFormat="1" applyFont="1" applyBorder="1" applyAlignment="1">
      <alignment horizontal="center" vertical="top"/>
    </xf>
    <xf numFmtId="164" fontId="15" fillId="11" borderId="5" xfId="0" applyNumberFormat="1" applyFont="1" applyFill="1" applyBorder="1" applyAlignment="1">
      <alignment horizontal="right"/>
    </xf>
    <xf numFmtId="164" fontId="15" fillId="11" borderId="7" xfId="0" applyNumberFormat="1" applyFont="1" applyFill="1" applyBorder="1" applyAlignment="1">
      <alignment horizontal="right"/>
    </xf>
    <xf numFmtId="164" fontId="15" fillId="12" borderId="5" xfId="0" applyNumberFormat="1" applyFont="1" applyFill="1" applyBorder="1" applyAlignment="1">
      <alignment horizontal="right"/>
    </xf>
    <xf numFmtId="164" fontId="15" fillId="12" borderId="7" xfId="0" applyNumberFormat="1" applyFont="1" applyFill="1" applyBorder="1" applyAlignment="1">
      <alignment horizontal="right"/>
    </xf>
    <xf numFmtId="164" fontId="15" fillId="10" borderId="5" xfId="0" applyNumberFormat="1" applyFont="1" applyFill="1" applyBorder="1" applyAlignment="1">
      <alignment horizontal="right"/>
    </xf>
    <xf numFmtId="164" fontId="15" fillId="10" borderId="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4" fontId="13" fillId="0" borderId="8" xfId="0" applyNumberFormat="1" applyFont="1" applyBorder="1" applyAlignment="1">
      <alignment horizontal="center" vertical="top" wrapText="1"/>
    </xf>
    <xf numFmtId="14" fontId="13" fillId="0" borderId="37" xfId="0" applyNumberFormat="1" applyFont="1" applyBorder="1" applyAlignment="1">
      <alignment horizontal="center" vertical="top" wrapText="1"/>
    </xf>
    <xf numFmtId="0" fontId="9" fillId="0" borderId="5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48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wrapText="1"/>
    </xf>
    <xf numFmtId="0" fontId="9" fillId="0" borderId="50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3" fontId="13" fillId="3" borderId="18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  <dxf>
      <numFmt numFmtId="172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zoomScaleNormal="100" workbookViewId="0">
      <selection activeCell="H18" sqref="H18:I18"/>
    </sheetView>
  </sheetViews>
  <sheetFormatPr defaultRowHeight="12.75" x14ac:dyDescent="0.2"/>
  <cols>
    <col min="1" max="1" width="13.75" style="86" bestFit="1" customWidth="1"/>
    <col min="2" max="2" width="29.5" style="86" customWidth="1"/>
    <col min="3" max="3" width="19.25" style="86" customWidth="1"/>
    <col min="4" max="4" width="29.5" style="86" customWidth="1"/>
    <col min="5" max="5" width="4" style="86" customWidth="1"/>
    <col min="6" max="7" width="17.625" style="86" customWidth="1"/>
    <col min="8" max="15" width="13.625" style="86" customWidth="1"/>
    <col min="16" max="16" width="10.5" style="86" bestFit="1" customWidth="1"/>
    <col min="17" max="18" width="9" style="88" customWidth="1"/>
    <col min="19" max="16384" width="9" style="86"/>
  </cols>
  <sheetData>
    <row r="1" spans="1:18" ht="15.75" customHeight="1" thickBot="1" x14ac:dyDescent="0.25">
      <c r="A1" s="183" t="s">
        <v>65</v>
      </c>
      <c r="B1" s="84"/>
      <c r="C1" s="183" t="s">
        <v>11</v>
      </c>
      <c r="D1" s="85"/>
      <c r="F1" s="87"/>
      <c r="G1" s="87"/>
      <c r="H1" s="87"/>
      <c r="I1" s="87"/>
      <c r="J1" s="87"/>
      <c r="K1" s="87"/>
    </row>
    <row r="2" spans="1:18" ht="13.5" thickBot="1" x14ac:dyDescent="0.25">
      <c r="A2" s="184"/>
      <c r="B2" s="89"/>
      <c r="C2" s="184"/>
      <c r="F2" s="227" t="s">
        <v>26</v>
      </c>
      <c r="G2" s="227"/>
      <c r="H2" s="228"/>
      <c r="I2" s="228"/>
      <c r="J2" s="228"/>
      <c r="K2" s="228"/>
      <c r="L2" s="228"/>
      <c r="M2" s="228"/>
      <c r="N2" s="228"/>
      <c r="O2" s="228"/>
    </row>
    <row r="3" spans="1:18" x14ac:dyDescent="0.2">
      <c r="A3" s="185" t="s">
        <v>55</v>
      </c>
      <c r="B3" s="90"/>
      <c r="C3" s="188" t="s">
        <v>57</v>
      </c>
      <c r="D3" s="91">
        <v>100000</v>
      </c>
      <c r="E3" s="92"/>
      <c r="F3" s="235" t="s">
        <v>37</v>
      </c>
      <c r="G3" s="233" t="s">
        <v>27</v>
      </c>
      <c r="H3" s="245" t="s">
        <v>36</v>
      </c>
      <c r="I3" s="246"/>
      <c r="J3" s="246"/>
      <c r="K3" s="246"/>
      <c r="L3" s="245" t="s">
        <v>5</v>
      </c>
      <c r="M3" s="246"/>
      <c r="N3" s="246"/>
      <c r="O3" s="247"/>
    </row>
    <row r="4" spans="1:18" x14ac:dyDescent="0.2">
      <c r="A4" s="186" t="s">
        <v>56</v>
      </c>
      <c r="B4" s="93"/>
      <c r="C4" s="189" t="s">
        <v>61</v>
      </c>
      <c r="D4" s="94"/>
      <c r="F4" s="236"/>
      <c r="G4" s="234"/>
      <c r="H4" s="95" t="s">
        <v>3</v>
      </c>
      <c r="I4" s="96" t="s">
        <v>4</v>
      </c>
      <c r="J4" s="96" t="s">
        <v>3</v>
      </c>
      <c r="K4" s="96" t="s">
        <v>4</v>
      </c>
      <c r="L4" s="95" t="s">
        <v>3</v>
      </c>
      <c r="M4" s="96" t="s">
        <v>4</v>
      </c>
      <c r="N4" s="96" t="s">
        <v>3</v>
      </c>
      <c r="O4" s="97" t="s">
        <v>4</v>
      </c>
      <c r="Q4" s="98"/>
      <c r="R4" s="98"/>
    </row>
    <row r="5" spans="1:18" x14ac:dyDescent="0.2">
      <c r="A5" s="186" t="s">
        <v>59</v>
      </c>
      <c r="B5" s="93"/>
      <c r="C5" s="189" t="s">
        <v>62</v>
      </c>
      <c r="D5" s="94"/>
      <c r="F5" s="99" t="s">
        <v>28</v>
      </c>
      <c r="G5" s="99" t="s">
        <v>29</v>
      </c>
      <c r="H5" s="100">
        <v>1000</v>
      </c>
      <c r="I5" s="101"/>
      <c r="J5" s="102">
        <f t="shared" ref="J5" si="0">IF(H5&lt;&gt;0, H5, $D$3*I5)</f>
        <v>1000</v>
      </c>
      <c r="K5" s="103">
        <f t="shared" ref="K5" si="1">IF(I5&lt;&gt;0, I5, IF($D$3=0,0,H5/$D$3))</f>
        <v>0.01</v>
      </c>
      <c r="L5" s="104" t="s">
        <v>22</v>
      </c>
      <c r="M5" s="105" t="s">
        <v>22</v>
      </c>
      <c r="N5" s="104" t="str">
        <f t="shared" ref="N5" si="2">IF(L5&lt;&gt;0, L5, $D$3*M5)</f>
        <v>n/a</v>
      </c>
      <c r="O5" s="106" t="str">
        <f t="shared" ref="O5" si="3">IF(M5&lt;&gt;0, M5, IF($D$3=0,0,L5/$D$3))</f>
        <v>n/a</v>
      </c>
      <c r="Q5" s="107"/>
      <c r="R5" s="107"/>
    </row>
    <row r="6" spans="1:18" ht="15" customHeight="1" x14ac:dyDescent="0.2">
      <c r="A6" s="186" t="s">
        <v>58</v>
      </c>
      <c r="B6" s="93"/>
      <c r="C6" s="189" t="s">
        <v>63</v>
      </c>
      <c r="D6" s="94"/>
      <c r="F6" s="99" t="s">
        <v>28</v>
      </c>
      <c r="G6" s="99" t="s">
        <v>30</v>
      </c>
      <c r="H6" s="100"/>
      <c r="I6" s="101">
        <v>0.01</v>
      </c>
      <c r="J6" s="108">
        <f>IF(H6&lt;&gt;0, H6,I6*($D$3-($J$5+$J$9)))</f>
        <v>990</v>
      </c>
      <c r="K6" s="109">
        <f>IF(I6&lt;&gt;0, I6, IF($D$3=0,0,H6/($D$3-($J$5+$J$9))))</f>
        <v>0.01</v>
      </c>
      <c r="L6" s="100">
        <f>H6</f>
        <v>0</v>
      </c>
      <c r="M6" s="101">
        <f>K6</f>
        <v>0.01</v>
      </c>
      <c r="N6" s="108">
        <f>IF(L6&lt;&gt;0, L6,M6*($D$3-($J$5+$J$9)))</f>
        <v>990</v>
      </c>
      <c r="O6" s="109">
        <f>IF(M6&lt;&gt;0, M6, IF($D$3=0,0,L6/($D$3-($J$5+$J$9))))</f>
        <v>0.01</v>
      </c>
      <c r="Q6" s="107"/>
      <c r="R6" s="107"/>
    </row>
    <row r="7" spans="1:18" ht="15" customHeight="1" thickBot="1" x14ac:dyDescent="0.25">
      <c r="A7" s="187" t="s">
        <v>60</v>
      </c>
      <c r="B7" s="110"/>
      <c r="C7" s="190" t="s">
        <v>64</v>
      </c>
      <c r="D7" s="111"/>
      <c r="F7" s="99" t="s">
        <v>28</v>
      </c>
      <c r="G7" s="99" t="s">
        <v>31</v>
      </c>
      <c r="H7" s="100"/>
      <c r="I7" s="101"/>
      <c r="J7" s="108">
        <f>IF(H7&lt;&gt;0, H7,I7*($D$3-($J$5+$J$9)))</f>
        <v>0</v>
      </c>
      <c r="K7" s="109">
        <f>IF(I7&lt;&gt;0, I7, IF($D$3=0,0,H7/($D$3-($J$5+$J$9))))</f>
        <v>0</v>
      </c>
      <c r="L7" s="100">
        <f>H7</f>
        <v>0</v>
      </c>
      <c r="M7" s="101">
        <f t="shared" ref="M7:M14" si="4">K7</f>
        <v>0</v>
      </c>
      <c r="N7" s="108">
        <f>IF(L7&lt;&gt;0, L7,M7*($D$3-($J$5+$J$9)))</f>
        <v>0</v>
      </c>
      <c r="O7" s="109">
        <f t="shared" ref="O7:O17" si="5">IF(M7&lt;&gt;0, M7, IF($D$3=0,0,L7/($D$3-($J$5+$J$9))))</f>
        <v>0</v>
      </c>
      <c r="Q7" s="107"/>
      <c r="R7" s="107"/>
    </row>
    <row r="8" spans="1:18" ht="13.5" thickBot="1" x14ac:dyDescent="0.25">
      <c r="B8" s="248" t="s">
        <v>54</v>
      </c>
      <c r="C8" s="249"/>
      <c r="D8" s="191">
        <f>SUM(D3:D7)</f>
        <v>100000</v>
      </c>
      <c r="F8" s="239" t="s">
        <v>47</v>
      </c>
      <c r="G8" s="240"/>
      <c r="H8" s="243" t="s">
        <v>53</v>
      </c>
      <c r="I8" s="244"/>
      <c r="J8" s="112">
        <f>SUM(J5:J7)</f>
        <v>1990</v>
      </c>
      <c r="K8" s="113">
        <f>SUM(K5:K7)</f>
        <v>0.02</v>
      </c>
      <c r="L8" s="254" t="s">
        <v>53</v>
      </c>
      <c r="M8" s="255"/>
      <c r="N8" s="114">
        <f>SUM(N6:N7)</f>
        <v>990</v>
      </c>
      <c r="O8" s="115">
        <f>SUM(O6:O7)</f>
        <v>0.01</v>
      </c>
      <c r="Q8" s="107"/>
      <c r="R8" s="107"/>
    </row>
    <row r="9" spans="1:18" ht="13.5" thickBot="1" x14ac:dyDescent="0.25">
      <c r="B9" s="257" t="s">
        <v>88</v>
      </c>
      <c r="C9" s="181" t="s">
        <v>86</v>
      </c>
      <c r="D9" s="182"/>
      <c r="E9" s="116"/>
      <c r="F9" s="117" t="s">
        <v>32</v>
      </c>
      <c r="G9" s="117" t="s">
        <v>29</v>
      </c>
      <c r="H9" s="118"/>
      <c r="I9" s="119"/>
      <c r="J9" s="108">
        <f t="shared" ref="J9" si="6">IF(H9&lt;&gt;0, H9, $D$3*I9)</f>
        <v>0</v>
      </c>
      <c r="K9" s="109">
        <f t="shared" ref="K9" si="7">IF(I9&lt;&gt;0, I9, IF($D$3=0,0,H9/$D$3))</f>
        <v>0</v>
      </c>
      <c r="L9" s="120" t="s">
        <v>22</v>
      </c>
      <c r="M9" s="105" t="s">
        <v>22</v>
      </c>
      <c r="N9" s="121" t="str">
        <f t="shared" ref="N9:N17" si="8">IF(L9&lt;&gt;0, L9,M9*($D$3-($J$5+$J$9)))</f>
        <v>n/a</v>
      </c>
      <c r="O9" s="122" t="str">
        <f t="shared" si="5"/>
        <v>n/a</v>
      </c>
      <c r="Q9" s="107"/>
      <c r="R9" s="107"/>
    </row>
    <row r="10" spans="1:18" ht="15" customHeight="1" thickBot="1" x14ac:dyDescent="0.25">
      <c r="B10" s="258"/>
      <c r="C10" s="181" t="s">
        <v>87</v>
      </c>
      <c r="D10" s="180"/>
      <c r="F10" s="117" t="s">
        <v>32</v>
      </c>
      <c r="G10" s="117" t="s">
        <v>30</v>
      </c>
      <c r="H10" s="118"/>
      <c r="I10" s="119"/>
      <c r="J10" s="108">
        <f>IF(H10&lt;&gt;0, H10,I10*($D$3-($J$5+$J$9)))</f>
        <v>0</v>
      </c>
      <c r="K10" s="109">
        <f>IF(I10&lt;&gt;0, I10, IF($D$3=0,0,H10/($D$3-($J$5+$J$9))))</f>
        <v>0</v>
      </c>
      <c r="L10" s="118">
        <f>H10</f>
        <v>0</v>
      </c>
      <c r="M10" s="101">
        <f>I10</f>
        <v>0</v>
      </c>
      <c r="N10" s="108">
        <f t="shared" si="8"/>
        <v>0</v>
      </c>
      <c r="O10" s="109">
        <f t="shared" si="5"/>
        <v>0</v>
      </c>
      <c r="Q10" s="107"/>
      <c r="R10" s="107"/>
    </row>
    <row r="11" spans="1:18" ht="13.5" thickBot="1" x14ac:dyDescent="0.25">
      <c r="B11" s="229" t="s">
        <v>45</v>
      </c>
      <c r="C11" s="230"/>
      <c r="D11" s="123">
        <f>SUM(D3:D7)-C16-C17</f>
        <v>99000</v>
      </c>
      <c r="F11" s="117" t="s">
        <v>32</v>
      </c>
      <c r="G11" s="117" t="s">
        <v>8</v>
      </c>
      <c r="H11" s="118"/>
      <c r="I11" s="119"/>
      <c r="J11" s="108">
        <f t="shared" ref="J11:J17" si="9">IF(H11&lt;&gt;0, H11,I11*($D$3-($J$5+$J$9)))</f>
        <v>0</v>
      </c>
      <c r="K11" s="109">
        <f t="shared" ref="K11:K17" si="10">IF(I11&lt;&gt;0, I11, IF($D$3=0,0,H11/($D$3-($J$5+$J$9))))</f>
        <v>0</v>
      </c>
      <c r="L11" s="118">
        <f>H11</f>
        <v>0</v>
      </c>
      <c r="M11" s="101">
        <f t="shared" si="4"/>
        <v>0</v>
      </c>
      <c r="N11" s="108">
        <f t="shared" si="8"/>
        <v>0</v>
      </c>
      <c r="O11" s="109">
        <f t="shared" si="5"/>
        <v>0</v>
      </c>
      <c r="Q11" s="107"/>
      <c r="R11" s="107"/>
    </row>
    <row r="12" spans="1:18" ht="13.5" thickBot="1" x14ac:dyDescent="0.25">
      <c r="B12" s="231" t="s">
        <v>42</v>
      </c>
      <c r="C12" s="232"/>
      <c r="D12" s="272">
        <v>5.0379E-2</v>
      </c>
      <c r="F12" s="117" t="s">
        <v>32</v>
      </c>
      <c r="G12" s="117" t="s">
        <v>31</v>
      </c>
      <c r="H12" s="118"/>
      <c r="I12" s="119"/>
      <c r="J12" s="108">
        <f t="shared" si="9"/>
        <v>0</v>
      </c>
      <c r="K12" s="109">
        <f t="shared" si="10"/>
        <v>0</v>
      </c>
      <c r="L12" s="118">
        <f>H12</f>
        <v>0</v>
      </c>
      <c r="M12" s="101">
        <f t="shared" si="4"/>
        <v>0</v>
      </c>
      <c r="N12" s="108">
        <f t="shared" si="8"/>
        <v>0</v>
      </c>
      <c r="O12" s="109">
        <f t="shared" si="5"/>
        <v>0</v>
      </c>
      <c r="Q12" s="107"/>
      <c r="R12" s="107"/>
    </row>
    <row r="13" spans="1:18" ht="13.5" thickBot="1" x14ac:dyDescent="0.25">
      <c r="F13" s="241" t="s">
        <v>48</v>
      </c>
      <c r="G13" s="242"/>
      <c r="H13" s="250" t="s">
        <v>53</v>
      </c>
      <c r="I13" s="251"/>
      <c r="J13" s="127">
        <f>SUM(J9:J12)</f>
        <v>0</v>
      </c>
      <c r="K13" s="128">
        <f>SUM(K9:K12)</f>
        <v>0</v>
      </c>
      <c r="L13" s="250" t="s">
        <v>53</v>
      </c>
      <c r="M13" s="251"/>
      <c r="N13" s="127">
        <f>SUM(N10:N12)</f>
        <v>0</v>
      </c>
      <c r="O13" s="128">
        <f>SUM(O10:O12)</f>
        <v>0</v>
      </c>
      <c r="Q13" s="107"/>
      <c r="R13" s="107"/>
    </row>
    <row r="14" spans="1:18" x14ac:dyDescent="0.2">
      <c r="B14" s="124" t="s">
        <v>36</v>
      </c>
      <c r="C14" s="125" t="s">
        <v>0</v>
      </c>
      <c r="D14" s="126" t="s">
        <v>1</v>
      </c>
      <c r="F14" s="129" t="s">
        <v>33</v>
      </c>
      <c r="G14" s="129" t="s">
        <v>34</v>
      </c>
      <c r="H14" s="118"/>
      <c r="I14" s="130"/>
      <c r="J14" s="108">
        <f t="shared" si="9"/>
        <v>0</v>
      </c>
      <c r="K14" s="109">
        <f t="shared" si="10"/>
        <v>0</v>
      </c>
      <c r="L14" s="118">
        <f>H14</f>
        <v>0</v>
      </c>
      <c r="M14" s="101">
        <f t="shared" si="4"/>
        <v>0</v>
      </c>
      <c r="N14" s="108">
        <f t="shared" si="8"/>
        <v>0</v>
      </c>
      <c r="O14" s="109">
        <f t="shared" si="5"/>
        <v>0</v>
      </c>
      <c r="Q14" s="107"/>
      <c r="R14" s="107"/>
    </row>
    <row r="15" spans="1:18" x14ac:dyDescent="0.2">
      <c r="B15" s="224"/>
      <c r="C15" s="225"/>
      <c r="D15" s="226"/>
      <c r="F15" s="129" t="s">
        <v>33</v>
      </c>
      <c r="G15" s="129" t="s">
        <v>35</v>
      </c>
      <c r="H15" s="118"/>
      <c r="I15" s="130"/>
      <c r="J15" s="108">
        <f t="shared" si="9"/>
        <v>0</v>
      </c>
      <c r="K15" s="109">
        <f t="shared" si="10"/>
        <v>0</v>
      </c>
      <c r="L15" s="118">
        <f>H15</f>
        <v>0</v>
      </c>
      <c r="M15" s="101">
        <f>K15</f>
        <v>0</v>
      </c>
      <c r="N15" s="108">
        <f t="shared" si="8"/>
        <v>0</v>
      </c>
      <c r="O15" s="109">
        <f t="shared" si="5"/>
        <v>0</v>
      </c>
      <c r="Q15" s="107"/>
      <c r="R15" s="107"/>
    </row>
    <row r="16" spans="1:18" x14ac:dyDescent="0.2">
      <c r="B16" s="131" t="s">
        <v>43</v>
      </c>
      <c r="C16" s="132">
        <f>J5+J24+J43+J62+J81</f>
        <v>1000</v>
      </c>
      <c r="D16" s="133">
        <f>C16/D8</f>
        <v>0.01</v>
      </c>
      <c r="F16" s="129" t="s">
        <v>33</v>
      </c>
      <c r="G16" s="129" t="s">
        <v>7</v>
      </c>
      <c r="H16" s="118"/>
      <c r="I16" s="130">
        <v>6.0000000000000001E-3</v>
      </c>
      <c r="J16" s="108">
        <f t="shared" si="9"/>
        <v>594</v>
      </c>
      <c r="K16" s="109">
        <f t="shared" si="10"/>
        <v>6.0000000000000001E-3</v>
      </c>
      <c r="L16" s="118">
        <f>H16</f>
        <v>0</v>
      </c>
      <c r="M16" s="101">
        <f>I16</f>
        <v>6.0000000000000001E-3</v>
      </c>
      <c r="N16" s="108">
        <f t="shared" si="8"/>
        <v>594</v>
      </c>
      <c r="O16" s="109">
        <f t="shared" si="5"/>
        <v>6.0000000000000001E-3</v>
      </c>
      <c r="Q16" s="107"/>
      <c r="R16" s="107"/>
    </row>
    <row r="17" spans="2:18" x14ac:dyDescent="0.2">
      <c r="B17" s="131" t="s">
        <v>44</v>
      </c>
      <c r="C17" s="132">
        <f>J9+J28+J47+J66+J85</f>
        <v>0</v>
      </c>
      <c r="D17" s="134">
        <f>C17/D8</f>
        <v>0</v>
      </c>
      <c r="F17" s="129" t="s">
        <v>33</v>
      </c>
      <c r="G17" s="129" t="s">
        <v>8</v>
      </c>
      <c r="H17" s="118"/>
      <c r="I17" s="130">
        <v>2.5000000000000001E-3</v>
      </c>
      <c r="J17" s="108">
        <f t="shared" si="9"/>
        <v>247.5</v>
      </c>
      <c r="K17" s="109">
        <f t="shared" si="10"/>
        <v>2.5000000000000001E-3</v>
      </c>
      <c r="L17" s="118">
        <f>H17</f>
        <v>0</v>
      </c>
      <c r="M17" s="101">
        <f>K17</f>
        <v>2.5000000000000001E-3</v>
      </c>
      <c r="N17" s="108">
        <f t="shared" si="8"/>
        <v>247.5</v>
      </c>
      <c r="O17" s="109">
        <f t="shared" si="5"/>
        <v>2.5000000000000001E-3</v>
      </c>
      <c r="Q17" s="107"/>
      <c r="R17" s="107"/>
    </row>
    <row r="18" spans="2:18" x14ac:dyDescent="0.2">
      <c r="B18" s="135" t="s">
        <v>96</v>
      </c>
      <c r="C18" s="136">
        <f>J6+J7+J25+J26+J44+J45+J63+J64+J82+J83</f>
        <v>990</v>
      </c>
      <c r="D18" s="137">
        <f>C18/D11</f>
        <v>0.01</v>
      </c>
      <c r="F18" s="237" t="s">
        <v>49</v>
      </c>
      <c r="G18" s="238"/>
      <c r="H18" s="252" t="s">
        <v>53</v>
      </c>
      <c r="I18" s="253"/>
      <c r="J18" s="138">
        <f t="shared" ref="J18:O18" si="11">SUM(J14:J17)</f>
        <v>841.5</v>
      </c>
      <c r="K18" s="139">
        <f t="shared" si="11"/>
        <v>8.5000000000000006E-3</v>
      </c>
      <c r="L18" s="252" t="s">
        <v>53</v>
      </c>
      <c r="M18" s="253"/>
      <c r="N18" s="138">
        <f t="shared" si="11"/>
        <v>841.5</v>
      </c>
      <c r="O18" s="139">
        <f t="shared" si="11"/>
        <v>8.5000000000000006E-3</v>
      </c>
      <c r="Q18" s="107"/>
      <c r="R18" s="107"/>
    </row>
    <row r="19" spans="2:18" x14ac:dyDescent="0.2">
      <c r="B19" s="135" t="s">
        <v>125</v>
      </c>
      <c r="C19" s="136">
        <f>J10+J11+J12+J29+J30+J31+J48+J49+J50+J67+J68+J69+J86+J87+J88</f>
        <v>0</v>
      </c>
      <c r="D19" s="70">
        <f>C19/D11</f>
        <v>0</v>
      </c>
      <c r="J19" s="143">
        <f>J8+J13+J18</f>
        <v>2831.5</v>
      </c>
      <c r="K19" s="144">
        <f>K8+K13+K18</f>
        <v>2.8500000000000001E-2</v>
      </c>
      <c r="N19" s="143">
        <f>N8+N13+N18</f>
        <v>1831.5</v>
      </c>
      <c r="O19" s="144">
        <f>O8+O13+O18</f>
        <v>1.8500000000000003E-2</v>
      </c>
      <c r="Q19" s="107"/>
      <c r="R19" s="107"/>
    </row>
    <row r="20" spans="2:18" x14ac:dyDescent="0.2">
      <c r="B20" s="140" t="s">
        <v>95</v>
      </c>
      <c r="C20" s="141">
        <f>J14+J33+J52+J71+J90</f>
        <v>0</v>
      </c>
      <c r="D20" s="142">
        <f>C20/D11</f>
        <v>0</v>
      </c>
      <c r="J20" s="145"/>
      <c r="K20" s="146"/>
      <c r="Q20" s="107"/>
      <c r="R20" s="107"/>
    </row>
    <row r="21" spans="2:18" x14ac:dyDescent="0.2">
      <c r="B21" s="140" t="s">
        <v>94</v>
      </c>
      <c r="C21" s="141">
        <f>J15+J34+J53+J72+J91</f>
        <v>0</v>
      </c>
      <c r="D21" s="142">
        <f>C21/D11</f>
        <v>0</v>
      </c>
      <c r="F21" s="227" t="s">
        <v>38</v>
      </c>
      <c r="G21" s="227"/>
      <c r="H21" s="228"/>
      <c r="I21" s="228"/>
      <c r="J21" s="228"/>
      <c r="K21" s="228"/>
      <c r="L21" s="228"/>
      <c r="M21" s="228"/>
      <c r="N21" s="228"/>
      <c r="O21" s="228"/>
      <c r="Q21" s="107"/>
      <c r="R21" s="107"/>
    </row>
    <row r="22" spans="2:18" x14ac:dyDescent="0.2">
      <c r="B22" s="140" t="s">
        <v>92</v>
      </c>
      <c r="C22" s="141">
        <f>J16+J35+J54+J73+J92</f>
        <v>594</v>
      </c>
      <c r="D22" s="142">
        <f>C22/D11</f>
        <v>6.0000000000000001E-3</v>
      </c>
      <c r="F22" s="235" t="s">
        <v>37</v>
      </c>
      <c r="G22" s="235" t="s">
        <v>27</v>
      </c>
      <c r="H22" s="245" t="s">
        <v>36</v>
      </c>
      <c r="I22" s="246"/>
      <c r="J22" s="246"/>
      <c r="K22" s="246"/>
      <c r="L22" s="245" t="s">
        <v>5</v>
      </c>
      <c r="M22" s="246"/>
      <c r="N22" s="246"/>
      <c r="O22" s="247"/>
      <c r="Q22" s="107"/>
      <c r="R22" s="107"/>
    </row>
    <row r="23" spans="2:18" x14ac:dyDescent="0.2">
      <c r="B23" s="140" t="s">
        <v>93</v>
      </c>
      <c r="C23" s="141">
        <f>J17+J36+J55+J74+J93</f>
        <v>247.5</v>
      </c>
      <c r="D23" s="142">
        <f>C23/D11</f>
        <v>2.5000000000000001E-3</v>
      </c>
      <c r="F23" s="236"/>
      <c r="G23" s="236"/>
      <c r="H23" s="95" t="s">
        <v>3</v>
      </c>
      <c r="I23" s="96" t="s">
        <v>4</v>
      </c>
      <c r="J23" s="96" t="s">
        <v>3</v>
      </c>
      <c r="K23" s="96" t="s">
        <v>4</v>
      </c>
      <c r="L23" s="95" t="s">
        <v>3</v>
      </c>
      <c r="M23" s="96" t="s">
        <v>4</v>
      </c>
      <c r="N23" s="96" t="s">
        <v>3</v>
      </c>
      <c r="O23" s="97" t="s">
        <v>4</v>
      </c>
      <c r="Q23" s="107"/>
      <c r="R23" s="107"/>
    </row>
    <row r="24" spans="2:18" x14ac:dyDescent="0.2">
      <c r="B24" s="135" t="s">
        <v>51</v>
      </c>
      <c r="C24" s="136">
        <f>J18+J37+J56+J75+J94</f>
        <v>841.5</v>
      </c>
      <c r="D24" s="70">
        <f>C24/D11</f>
        <v>8.5000000000000006E-3</v>
      </c>
      <c r="F24" s="99" t="s">
        <v>28</v>
      </c>
      <c r="G24" s="99" t="s">
        <v>29</v>
      </c>
      <c r="H24" s="100"/>
      <c r="I24" s="101"/>
      <c r="J24" s="102">
        <f>IF(H24&lt;&gt;0, H24, $D$4*I24)</f>
        <v>0</v>
      </c>
      <c r="K24" s="103">
        <f>IF(I24&lt;&gt;0, I24, IF($D$4=0,0,H24/$D$4))</f>
        <v>0</v>
      </c>
      <c r="L24" s="104" t="s">
        <v>22</v>
      </c>
      <c r="M24" s="105" t="s">
        <v>22</v>
      </c>
      <c r="N24" s="104" t="str">
        <f t="shared" ref="N24" si="12">IF(L24&lt;&gt;0, L24, $D$3*M24)</f>
        <v>n/a</v>
      </c>
      <c r="O24" s="106" t="str">
        <f t="shared" ref="O24" si="13">IF(M24&lt;&gt;0, M24, IF($D$3=0,0,L24/$D$3))</f>
        <v>n/a</v>
      </c>
      <c r="Q24" s="107"/>
      <c r="R24" s="107"/>
    </row>
    <row r="25" spans="2:18" x14ac:dyDescent="0.2">
      <c r="B25" s="147" t="s">
        <v>76</v>
      </c>
      <c r="C25" s="148">
        <f>SUM(C18:C23)</f>
        <v>1831.5</v>
      </c>
      <c r="D25" s="149">
        <f>SUM(D18:D23)</f>
        <v>1.8499999999999999E-2</v>
      </c>
      <c r="F25" s="99" t="s">
        <v>28</v>
      </c>
      <c r="G25" s="99" t="s">
        <v>30</v>
      </c>
      <c r="H25" s="100"/>
      <c r="I25" s="101"/>
      <c r="J25" s="108">
        <f>IF(H25&lt;&gt;0, H25,I25*($D$4-($J$24+$J$28)))</f>
        <v>0</v>
      </c>
      <c r="K25" s="109">
        <f>IF(I25&lt;&gt;0, I25, IF($D$4=0,0,H25/($D$4-($J$24+$J$28))))</f>
        <v>0</v>
      </c>
      <c r="L25" s="100">
        <f>H25</f>
        <v>0</v>
      </c>
      <c r="M25" s="101">
        <f t="shared" ref="M25:M36" si="14">K25</f>
        <v>0</v>
      </c>
      <c r="N25" s="108">
        <f>IF(L25&lt;&gt;0, L25,M25*($D$4-($J$24+$J$28)))</f>
        <v>0</v>
      </c>
      <c r="O25" s="109">
        <f>IF(M25&lt;&gt;0, M25, IF($D$4=0,0,L25/($D$4-($J$24+$J$28))))</f>
        <v>0</v>
      </c>
      <c r="Q25" s="107"/>
      <c r="R25" s="107"/>
    </row>
    <row r="26" spans="2:18" x14ac:dyDescent="0.2">
      <c r="B26" s="147" t="s">
        <v>52</v>
      </c>
      <c r="C26" s="148">
        <f>SUM(C16:C23)</f>
        <v>2831.5</v>
      </c>
      <c r="D26" s="149">
        <f>SUM(D16:D23)</f>
        <v>2.8500000000000001E-2</v>
      </c>
      <c r="F26" s="99" t="s">
        <v>28</v>
      </c>
      <c r="G26" s="99" t="s">
        <v>31</v>
      </c>
      <c r="H26" s="100"/>
      <c r="I26" s="101"/>
      <c r="J26" s="108">
        <f>IF(H26&lt;&gt;0, H26,I26*($D$4-($J$24+$J$28)))</f>
        <v>0</v>
      </c>
      <c r="K26" s="109">
        <f>IF(I26&lt;&gt;0, I26, IF($D$4=0,0,H26/($D$4-($J$24+$J$28))))</f>
        <v>0</v>
      </c>
      <c r="L26" s="100">
        <f>H26</f>
        <v>0</v>
      </c>
      <c r="M26" s="101">
        <f t="shared" si="14"/>
        <v>0</v>
      </c>
      <c r="N26" s="108">
        <f t="shared" ref="N26:N36" si="15">IF(L26&lt;&gt;0, L26,M26*($D$4-($J$24+$J$28)))</f>
        <v>0</v>
      </c>
      <c r="O26" s="109">
        <f t="shared" ref="O26:O36" si="16">IF(M26&lt;&gt;0, M26, IF($D$4=0,0,L26/($D$4-($J$24+$J$28))))</f>
        <v>0</v>
      </c>
      <c r="Q26" s="107"/>
      <c r="R26" s="107"/>
    </row>
    <row r="27" spans="2:18" ht="13.5" thickBot="1" x14ac:dyDescent="0.25">
      <c r="F27" s="239" t="s">
        <v>47</v>
      </c>
      <c r="G27" s="240"/>
      <c r="H27" s="243" t="s">
        <v>53</v>
      </c>
      <c r="I27" s="244"/>
      <c r="J27" s="112">
        <f>SUM(J24:J26)</f>
        <v>0</v>
      </c>
      <c r="K27" s="113">
        <f>SUM(K24:K26)</f>
        <v>0</v>
      </c>
      <c r="L27" s="254" t="s">
        <v>53</v>
      </c>
      <c r="M27" s="255"/>
      <c r="N27" s="114">
        <f>SUM(N25:N26)</f>
        <v>0</v>
      </c>
      <c r="O27" s="115">
        <f>SUM(O25:O26)</f>
        <v>0</v>
      </c>
      <c r="Q27" s="107"/>
      <c r="R27" s="107"/>
    </row>
    <row r="28" spans="2:18" ht="15" customHeight="1" x14ac:dyDescent="0.2">
      <c r="B28" s="124" t="s">
        <v>5</v>
      </c>
      <c r="C28" s="125" t="s">
        <v>0</v>
      </c>
      <c r="D28" s="126" t="s">
        <v>1</v>
      </c>
      <c r="E28" s="150"/>
      <c r="F28" s="117" t="s">
        <v>32</v>
      </c>
      <c r="G28" s="117" t="s">
        <v>29</v>
      </c>
      <c r="H28" s="118"/>
      <c r="I28" s="119"/>
      <c r="J28" s="108">
        <f>IF(H28&lt;&gt;0, H28, $D$4*I28)</f>
        <v>0</v>
      </c>
      <c r="K28" s="109">
        <f>IF(I28&lt;&gt;0, I28, IF($D$4=0,0,H28/$D$4))</f>
        <v>0</v>
      </c>
      <c r="L28" s="120" t="s">
        <v>22</v>
      </c>
      <c r="M28" s="105" t="s">
        <v>22</v>
      </c>
      <c r="N28" s="121" t="str">
        <f t="shared" si="15"/>
        <v>n/a</v>
      </c>
      <c r="O28" s="122" t="str">
        <f t="shared" si="16"/>
        <v>n/a</v>
      </c>
    </row>
    <row r="29" spans="2:18" x14ac:dyDescent="0.2">
      <c r="B29" s="224"/>
      <c r="C29" s="225"/>
      <c r="D29" s="226"/>
      <c r="E29" s="150"/>
      <c r="F29" s="117" t="s">
        <v>32</v>
      </c>
      <c r="G29" s="117" t="s">
        <v>30</v>
      </c>
      <c r="H29" s="118"/>
      <c r="I29" s="119"/>
      <c r="J29" s="108">
        <f>IF(H29&lt;&gt;0, H29,I29*($D$4-($J$24+$J$28)))</f>
        <v>0</v>
      </c>
      <c r="K29" s="109">
        <f>IF(I29&lt;&gt;0, I29, IF($D$4=0,0,H29/($D$4-($J$24+$J$28))))</f>
        <v>0</v>
      </c>
      <c r="L29" s="118">
        <f>H29</f>
        <v>0</v>
      </c>
      <c r="M29" s="101">
        <f t="shared" si="14"/>
        <v>0</v>
      </c>
      <c r="N29" s="108">
        <f t="shared" si="15"/>
        <v>0</v>
      </c>
      <c r="O29" s="109">
        <f t="shared" si="16"/>
        <v>0</v>
      </c>
    </row>
    <row r="30" spans="2:18" x14ac:dyDescent="0.2">
      <c r="B30" s="135" t="s">
        <v>46</v>
      </c>
      <c r="C30" s="136">
        <f>N8+N27+N46+N65+N84</f>
        <v>990</v>
      </c>
      <c r="D30" s="137">
        <f>C30/D11</f>
        <v>0.01</v>
      </c>
      <c r="E30" s="69"/>
      <c r="F30" s="117" t="s">
        <v>32</v>
      </c>
      <c r="G30" s="117" t="s">
        <v>8</v>
      </c>
      <c r="H30" s="118"/>
      <c r="I30" s="119"/>
      <c r="J30" s="108">
        <f t="shared" ref="J30:J31" si="17">IF(H30&lt;&gt;0, H30,I30*($D$4-($J$24+$J$28)))</f>
        <v>0</v>
      </c>
      <c r="K30" s="109">
        <f t="shared" ref="K30:K31" si="18">IF(I30&lt;&gt;0, I30, IF($D$4=0,0,H30/($D$4-($J$24+$J$28))))</f>
        <v>0</v>
      </c>
      <c r="L30" s="118">
        <f>H30</f>
        <v>0</v>
      </c>
      <c r="M30" s="101">
        <f t="shared" si="14"/>
        <v>0</v>
      </c>
      <c r="N30" s="108">
        <f t="shared" si="15"/>
        <v>0</v>
      </c>
      <c r="O30" s="109">
        <f t="shared" si="16"/>
        <v>0</v>
      </c>
    </row>
    <row r="31" spans="2:18" x14ac:dyDescent="0.2">
      <c r="B31" s="135" t="s">
        <v>50</v>
      </c>
      <c r="C31" s="136">
        <f>N13+N32+N51+N70+N89</f>
        <v>0</v>
      </c>
      <c r="D31" s="70">
        <f>C31/D11</f>
        <v>0</v>
      </c>
      <c r="E31" s="69"/>
      <c r="F31" s="117" t="s">
        <v>32</v>
      </c>
      <c r="G31" s="117" t="s">
        <v>31</v>
      </c>
      <c r="H31" s="118"/>
      <c r="I31" s="119"/>
      <c r="J31" s="108">
        <f t="shared" si="17"/>
        <v>0</v>
      </c>
      <c r="K31" s="109">
        <f t="shared" si="18"/>
        <v>0</v>
      </c>
      <c r="L31" s="118">
        <f>H31</f>
        <v>0</v>
      </c>
      <c r="M31" s="101">
        <f t="shared" si="14"/>
        <v>0</v>
      </c>
      <c r="N31" s="108">
        <f t="shared" si="15"/>
        <v>0</v>
      </c>
      <c r="O31" s="109">
        <f t="shared" si="16"/>
        <v>0</v>
      </c>
    </row>
    <row r="32" spans="2:18" x14ac:dyDescent="0.2">
      <c r="B32" s="140" t="s">
        <v>34</v>
      </c>
      <c r="C32" s="141">
        <f>N14+N33+N52+N71+N90</f>
        <v>0</v>
      </c>
      <c r="D32" s="142">
        <f>C32/D11</f>
        <v>0</v>
      </c>
      <c r="E32" s="69"/>
      <c r="F32" s="241" t="s">
        <v>48</v>
      </c>
      <c r="G32" s="242"/>
      <c r="H32" s="250" t="s">
        <v>53</v>
      </c>
      <c r="I32" s="251"/>
      <c r="J32" s="151">
        <f t="shared" ref="J32:K32" si="19">SUM(J28:J31)</f>
        <v>0</v>
      </c>
      <c r="K32" s="152">
        <f t="shared" si="19"/>
        <v>0</v>
      </c>
      <c r="L32" s="250" t="s">
        <v>53</v>
      </c>
      <c r="M32" s="251"/>
      <c r="N32" s="127">
        <f>SUM(N29:N31)</f>
        <v>0</v>
      </c>
      <c r="O32" s="128">
        <f>SUM(O29:O31)</f>
        <v>0</v>
      </c>
    </row>
    <row r="33" spans="1:15" x14ac:dyDescent="0.2">
      <c r="B33" s="140" t="s">
        <v>35</v>
      </c>
      <c r="C33" s="141">
        <f t="shared" ref="C33:C35" si="20">N15+N34+N53+N72+N91</f>
        <v>0</v>
      </c>
      <c r="D33" s="142">
        <f>C33/D11</f>
        <v>0</v>
      </c>
      <c r="F33" s="129" t="s">
        <v>33</v>
      </c>
      <c r="G33" s="129" t="s">
        <v>34</v>
      </c>
      <c r="H33" s="118"/>
      <c r="I33" s="130"/>
      <c r="J33" s="108">
        <f>IF(H33&lt;&gt;0, H33,I33*($D$4-($J$24+$J$28)))</f>
        <v>0</v>
      </c>
      <c r="K33" s="109">
        <f>IF(I33&lt;&gt;0, I33, IF($D$4=0,0,H33/($D$4-($J$24+$J$28))))</f>
        <v>0</v>
      </c>
      <c r="L33" s="118">
        <f>H33</f>
        <v>0</v>
      </c>
      <c r="M33" s="101">
        <f t="shared" si="14"/>
        <v>0</v>
      </c>
      <c r="N33" s="108">
        <f t="shared" si="15"/>
        <v>0</v>
      </c>
      <c r="O33" s="109">
        <f t="shared" si="16"/>
        <v>0</v>
      </c>
    </row>
    <row r="34" spans="1:15" x14ac:dyDescent="0.2">
      <c r="B34" s="140" t="s">
        <v>7</v>
      </c>
      <c r="C34" s="141">
        <f t="shared" si="20"/>
        <v>594</v>
      </c>
      <c r="D34" s="142">
        <f>C34/D11</f>
        <v>6.0000000000000001E-3</v>
      </c>
      <c r="F34" s="129" t="s">
        <v>33</v>
      </c>
      <c r="G34" s="129" t="s">
        <v>35</v>
      </c>
      <c r="H34" s="118"/>
      <c r="I34" s="130"/>
      <c r="J34" s="108">
        <f t="shared" ref="J34:J36" si="21">IF(H34&lt;&gt;0, H34,I34*($D$4-($J$24+$J$28)))</f>
        <v>0</v>
      </c>
      <c r="K34" s="109">
        <f t="shared" ref="K34:K36" si="22">IF(I34&lt;&gt;0, I34, IF($D$4=0,0,H34/($D$4-($J$24+$J$28))))</f>
        <v>0</v>
      </c>
      <c r="L34" s="118">
        <f>H34</f>
        <v>0</v>
      </c>
      <c r="M34" s="101">
        <f t="shared" si="14"/>
        <v>0</v>
      </c>
      <c r="N34" s="108">
        <f t="shared" si="15"/>
        <v>0</v>
      </c>
      <c r="O34" s="109">
        <f t="shared" si="16"/>
        <v>0</v>
      </c>
    </row>
    <row r="35" spans="1:15" x14ac:dyDescent="0.2">
      <c r="B35" s="140" t="s">
        <v>8</v>
      </c>
      <c r="C35" s="141">
        <f t="shared" si="20"/>
        <v>247.5</v>
      </c>
      <c r="D35" s="142">
        <f>C35/D11</f>
        <v>2.5000000000000001E-3</v>
      </c>
      <c r="F35" s="129" t="s">
        <v>33</v>
      </c>
      <c r="G35" s="129" t="s">
        <v>7</v>
      </c>
      <c r="H35" s="118"/>
      <c r="I35" s="130"/>
      <c r="J35" s="108">
        <f t="shared" si="21"/>
        <v>0</v>
      </c>
      <c r="K35" s="109">
        <f t="shared" si="22"/>
        <v>0</v>
      </c>
      <c r="L35" s="118">
        <f>H35</f>
        <v>0</v>
      </c>
      <c r="M35" s="101">
        <f t="shared" si="14"/>
        <v>0</v>
      </c>
      <c r="N35" s="108">
        <f t="shared" si="15"/>
        <v>0</v>
      </c>
      <c r="O35" s="109">
        <f t="shared" si="16"/>
        <v>0</v>
      </c>
    </row>
    <row r="36" spans="1:15" x14ac:dyDescent="0.2">
      <c r="B36" s="135" t="s">
        <v>51</v>
      </c>
      <c r="C36" s="136">
        <f>N18+N37+N56+N75+N94</f>
        <v>841.5</v>
      </c>
      <c r="D36" s="70">
        <f>C36/D11</f>
        <v>8.5000000000000006E-3</v>
      </c>
      <c r="F36" s="129" t="s">
        <v>33</v>
      </c>
      <c r="G36" s="129" t="s">
        <v>8</v>
      </c>
      <c r="H36" s="118"/>
      <c r="I36" s="130"/>
      <c r="J36" s="108">
        <f t="shared" si="21"/>
        <v>0</v>
      </c>
      <c r="K36" s="109">
        <f t="shared" si="22"/>
        <v>0</v>
      </c>
      <c r="L36" s="118">
        <f>H36</f>
        <v>0</v>
      </c>
      <c r="M36" s="101">
        <f t="shared" si="14"/>
        <v>0</v>
      </c>
      <c r="N36" s="108">
        <f t="shared" si="15"/>
        <v>0</v>
      </c>
      <c r="O36" s="109">
        <f t="shared" si="16"/>
        <v>0</v>
      </c>
    </row>
    <row r="37" spans="1:15" x14ac:dyDescent="0.2">
      <c r="A37" s="88"/>
      <c r="B37" s="147" t="s">
        <v>52</v>
      </c>
      <c r="C37" s="148">
        <f>SUM(C30:C35)</f>
        <v>1831.5</v>
      </c>
      <c r="D37" s="149">
        <f>SUM(D30:D35)</f>
        <v>1.8499999999999999E-2</v>
      </c>
      <c r="F37" s="237" t="s">
        <v>49</v>
      </c>
      <c r="G37" s="238"/>
      <c r="H37" s="252" t="s">
        <v>53</v>
      </c>
      <c r="I37" s="253"/>
      <c r="J37" s="138">
        <f t="shared" ref="J37:O37" si="23">SUM(J33:J36)</f>
        <v>0</v>
      </c>
      <c r="K37" s="139">
        <f t="shared" si="23"/>
        <v>0</v>
      </c>
      <c r="L37" s="252" t="s">
        <v>53</v>
      </c>
      <c r="M37" s="253"/>
      <c r="N37" s="138">
        <f t="shared" si="23"/>
        <v>0</v>
      </c>
      <c r="O37" s="139">
        <f t="shared" si="23"/>
        <v>0</v>
      </c>
    </row>
    <row r="38" spans="1:15" x14ac:dyDescent="0.2">
      <c r="B38" s="69"/>
      <c r="C38" s="153"/>
      <c r="D38" s="154"/>
      <c r="J38" s="143">
        <f>J27+J32+J37</f>
        <v>0</v>
      </c>
      <c r="K38" s="144">
        <f>K27+K32+K37</f>
        <v>0</v>
      </c>
      <c r="N38" s="143">
        <f>N27+N32+N37</f>
        <v>0</v>
      </c>
      <c r="O38" s="144">
        <f>O27+O32+O37</f>
        <v>0</v>
      </c>
    </row>
    <row r="39" spans="1:15" ht="15" customHeight="1" x14ac:dyDescent="0.2">
      <c r="A39" s="88"/>
      <c r="J39" s="155"/>
      <c r="K39" s="156"/>
    </row>
    <row r="40" spans="1:15" x14ac:dyDescent="0.2">
      <c r="F40" s="227" t="s">
        <v>39</v>
      </c>
      <c r="G40" s="227"/>
      <c r="H40" s="228"/>
      <c r="I40" s="228"/>
      <c r="J40" s="228"/>
      <c r="K40" s="228"/>
      <c r="L40" s="228"/>
      <c r="M40" s="228"/>
      <c r="N40" s="228"/>
      <c r="O40" s="228"/>
    </row>
    <row r="41" spans="1:15" x14ac:dyDescent="0.2">
      <c r="C41" s="157"/>
      <c r="D41" s="157"/>
      <c r="F41" s="235" t="s">
        <v>37</v>
      </c>
      <c r="G41" s="235" t="s">
        <v>27</v>
      </c>
      <c r="H41" s="245" t="s">
        <v>36</v>
      </c>
      <c r="I41" s="246"/>
      <c r="J41" s="246"/>
      <c r="K41" s="247"/>
      <c r="L41" s="245" t="s">
        <v>5</v>
      </c>
      <c r="M41" s="246"/>
      <c r="N41" s="246"/>
      <c r="O41" s="247"/>
    </row>
    <row r="42" spans="1:15" x14ac:dyDescent="0.2">
      <c r="F42" s="236"/>
      <c r="G42" s="236"/>
      <c r="H42" s="95" t="s">
        <v>3</v>
      </c>
      <c r="I42" s="96" t="s">
        <v>4</v>
      </c>
      <c r="J42" s="96" t="s">
        <v>3</v>
      </c>
      <c r="K42" s="97" t="s">
        <v>4</v>
      </c>
      <c r="L42" s="95" t="s">
        <v>3</v>
      </c>
      <c r="M42" s="96" t="s">
        <v>4</v>
      </c>
      <c r="N42" s="96" t="s">
        <v>3</v>
      </c>
      <c r="O42" s="97" t="s">
        <v>4</v>
      </c>
    </row>
    <row r="43" spans="1:15" x14ac:dyDescent="0.2">
      <c r="F43" s="99" t="s">
        <v>28</v>
      </c>
      <c r="G43" s="99" t="s">
        <v>29</v>
      </c>
      <c r="H43" s="100"/>
      <c r="I43" s="158"/>
      <c r="J43" s="108">
        <f>IF(H43&lt;&gt;0, H43, $D$5*I43)</f>
        <v>0</v>
      </c>
      <c r="K43" s="109">
        <f>IF(I43&lt;&gt;0, I43, IF($D$5=0,0,H43/$D$5))</f>
        <v>0</v>
      </c>
      <c r="L43" s="104" t="s">
        <v>22</v>
      </c>
      <c r="M43" s="159" t="s">
        <v>22</v>
      </c>
      <c r="N43" s="120" t="str">
        <f t="shared" ref="N43" si="24">IF(L43&lt;&gt;0, L43, $D$3*M43)</f>
        <v>n/a</v>
      </c>
      <c r="O43" s="160" t="str">
        <f t="shared" ref="O43" si="25">IF(M43&lt;&gt;0, M43, IF($D$3=0,0,L43/$D$3))</f>
        <v>n/a</v>
      </c>
    </row>
    <row r="44" spans="1:15" x14ac:dyDescent="0.2">
      <c r="F44" s="99" t="s">
        <v>28</v>
      </c>
      <c r="G44" s="99" t="s">
        <v>30</v>
      </c>
      <c r="H44" s="100"/>
      <c r="I44" s="158"/>
      <c r="J44" s="108">
        <f>IF(H44&lt;&gt;0, H44,I44*($D$5-($J$43+$J$47)))</f>
        <v>0</v>
      </c>
      <c r="K44" s="109">
        <f>IF(I44&lt;&gt;0, I44, IF($D$5=0,0,H44/($D$5-($J$43+$J$47))))</f>
        <v>0</v>
      </c>
      <c r="L44" s="100">
        <f>H44</f>
        <v>0</v>
      </c>
      <c r="M44" s="161">
        <f t="shared" ref="M44:M55" si="26">K44</f>
        <v>0</v>
      </c>
      <c r="N44" s="162">
        <f>IF(L44&lt;&gt;0, L44,M44*($D$5-($J$43+$J$47)))</f>
        <v>0</v>
      </c>
      <c r="O44" s="163">
        <f>IF(M44&lt;&gt;0, M44, IF($D$5=0,0,L44/($D$5-($J$43+$J$47))))</f>
        <v>0</v>
      </c>
    </row>
    <row r="45" spans="1:15" x14ac:dyDescent="0.2">
      <c r="F45" s="99" t="s">
        <v>28</v>
      </c>
      <c r="G45" s="99" t="s">
        <v>31</v>
      </c>
      <c r="H45" s="100"/>
      <c r="I45" s="158"/>
      <c r="J45" s="108">
        <f>IF(H45&lt;&gt;0, H45,I45*($D$5-($J$43+$J$47)))</f>
        <v>0</v>
      </c>
      <c r="K45" s="109">
        <f>IF(I45&lt;&gt;0, I45, IF($D$5=0,0,H45/($D$5-($J$43+$J$47))))</f>
        <v>0</v>
      </c>
      <c r="L45" s="100">
        <f>H45</f>
        <v>0</v>
      </c>
      <c r="M45" s="161">
        <f t="shared" si="26"/>
        <v>0</v>
      </c>
      <c r="N45" s="162">
        <f t="shared" ref="N45:N55" si="27">IF(L45&lt;&gt;0, L45,M45*($D$5-($J$43+$J$47)))</f>
        <v>0</v>
      </c>
      <c r="O45" s="163">
        <f t="shared" ref="O45:O55" si="28">IF(M45&lt;&gt;0, M45, IF($D$5=0,0,L45/($D$5-($J$43+$J$47))))</f>
        <v>0</v>
      </c>
    </row>
    <row r="46" spans="1:15" x14ac:dyDescent="0.2">
      <c r="F46" s="239" t="s">
        <v>47</v>
      </c>
      <c r="G46" s="240"/>
      <c r="H46" s="243" t="s">
        <v>53</v>
      </c>
      <c r="I46" s="244"/>
      <c r="J46" s="112">
        <f>SUM(J43:J45)</f>
        <v>0</v>
      </c>
      <c r="K46" s="113">
        <f>SUM(K43:K45)</f>
        <v>0</v>
      </c>
      <c r="L46" s="243" t="s">
        <v>53</v>
      </c>
      <c r="M46" s="244"/>
      <c r="N46" s="164">
        <f>SUM(N44:N45)</f>
        <v>0</v>
      </c>
      <c r="O46" s="165">
        <f>SUM(O44:O45)</f>
        <v>0</v>
      </c>
    </row>
    <row r="47" spans="1:15" x14ac:dyDescent="0.2">
      <c r="F47" s="117" t="s">
        <v>32</v>
      </c>
      <c r="G47" s="117" t="s">
        <v>29</v>
      </c>
      <c r="H47" s="118"/>
      <c r="I47" s="166"/>
      <c r="J47" s="108">
        <f>IF(H47&lt;&gt;0, H47, $D$5*I47)</f>
        <v>0</v>
      </c>
      <c r="K47" s="109">
        <f>IF(I47&lt;&gt;0, I47, IF($D$5=0,0,H47/$D$5))</f>
        <v>0</v>
      </c>
      <c r="L47" s="120" t="s">
        <v>22</v>
      </c>
      <c r="M47" s="159" t="s">
        <v>22</v>
      </c>
      <c r="N47" s="121" t="str">
        <f t="shared" si="27"/>
        <v>n/a</v>
      </c>
      <c r="O47" s="122" t="str">
        <f t="shared" si="28"/>
        <v>n/a</v>
      </c>
    </row>
    <row r="48" spans="1:15" x14ac:dyDescent="0.2">
      <c r="F48" s="117" t="s">
        <v>32</v>
      </c>
      <c r="G48" s="117" t="s">
        <v>30</v>
      </c>
      <c r="H48" s="118"/>
      <c r="I48" s="166"/>
      <c r="J48" s="108">
        <f>IF(H48&lt;&gt;0, H48,I48*($D$5-($J$43+$J$47)))</f>
        <v>0</v>
      </c>
      <c r="K48" s="109">
        <f>IF(I48&lt;&gt;0, I48, IF($D$5=0,0,H48/($D$5-($J$43+$J$47))))</f>
        <v>0</v>
      </c>
      <c r="L48" s="118">
        <f>H48</f>
        <v>0</v>
      </c>
      <c r="M48" s="161">
        <f t="shared" si="26"/>
        <v>0</v>
      </c>
      <c r="N48" s="162">
        <f t="shared" si="27"/>
        <v>0</v>
      </c>
      <c r="O48" s="163">
        <f t="shared" si="28"/>
        <v>0</v>
      </c>
    </row>
    <row r="49" spans="6:15" x14ac:dyDescent="0.2">
      <c r="F49" s="117" t="s">
        <v>32</v>
      </c>
      <c r="G49" s="117" t="s">
        <v>8</v>
      </c>
      <c r="H49" s="118"/>
      <c r="I49" s="166"/>
      <c r="J49" s="108">
        <f t="shared" ref="J49:J50" si="29">IF(H49&lt;&gt;0, H49,I49*($D$5-($J$43+$J$47)))</f>
        <v>0</v>
      </c>
      <c r="K49" s="109">
        <f t="shared" ref="K49:K55" si="30">IF(I49&lt;&gt;0, I49, IF($D$5=0,0,H49/($D$5-($J$43+$J$47))))</f>
        <v>0</v>
      </c>
      <c r="L49" s="118">
        <f>H49</f>
        <v>0</v>
      </c>
      <c r="M49" s="161">
        <f t="shared" si="26"/>
        <v>0</v>
      </c>
      <c r="N49" s="162">
        <f t="shared" si="27"/>
        <v>0</v>
      </c>
      <c r="O49" s="163">
        <f t="shared" si="28"/>
        <v>0</v>
      </c>
    </row>
    <row r="50" spans="6:15" x14ac:dyDescent="0.2">
      <c r="F50" s="117" t="s">
        <v>32</v>
      </c>
      <c r="G50" s="117" t="s">
        <v>31</v>
      </c>
      <c r="H50" s="118"/>
      <c r="I50" s="166"/>
      <c r="J50" s="108">
        <f t="shared" si="29"/>
        <v>0</v>
      </c>
      <c r="K50" s="109">
        <f t="shared" si="30"/>
        <v>0</v>
      </c>
      <c r="L50" s="118">
        <f>H50</f>
        <v>0</v>
      </c>
      <c r="M50" s="161">
        <f t="shared" si="26"/>
        <v>0</v>
      </c>
      <c r="N50" s="162">
        <f t="shared" si="27"/>
        <v>0</v>
      </c>
      <c r="O50" s="163">
        <f t="shared" si="28"/>
        <v>0</v>
      </c>
    </row>
    <row r="51" spans="6:15" x14ac:dyDescent="0.2">
      <c r="F51" s="241" t="s">
        <v>48</v>
      </c>
      <c r="G51" s="242"/>
      <c r="H51" s="250" t="s">
        <v>53</v>
      </c>
      <c r="I51" s="251"/>
      <c r="J51" s="151">
        <f t="shared" ref="J51" si="31">SUM(J47:J50)</f>
        <v>0</v>
      </c>
      <c r="K51" s="128">
        <f>SUM(K47:K50)</f>
        <v>0</v>
      </c>
      <c r="L51" s="250" t="s">
        <v>53</v>
      </c>
      <c r="M51" s="251"/>
      <c r="N51" s="167">
        <f>SUM(N48:N50)</f>
        <v>0</v>
      </c>
      <c r="O51" s="168">
        <f>SUM(O48:O50)</f>
        <v>0</v>
      </c>
    </row>
    <row r="52" spans="6:15" x14ac:dyDescent="0.2">
      <c r="F52" s="129" t="s">
        <v>33</v>
      </c>
      <c r="G52" s="129" t="s">
        <v>34</v>
      </c>
      <c r="H52" s="118"/>
      <c r="I52" s="169"/>
      <c r="J52" s="108">
        <f>IF(H52&lt;&gt;0, H52,I52*($D$5-($J$43+$J$47)))</f>
        <v>0</v>
      </c>
      <c r="K52" s="109">
        <f t="shared" si="30"/>
        <v>0</v>
      </c>
      <c r="L52" s="118">
        <f>H52</f>
        <v>0</v>
      </c>
      <c r="M52" s="161">
        <f t="shared" si="26"/>
        <v>0</v>
      </c>
      <c r="N52" s="162">
        <f t="shared" si="27"/>
        <v>0</v>
      </c>
      <c r="O52" s="163">
        <f t="shared" si="28"/>
        <v>0</v>
      </c>
    </row>
    <row r="53" spans="6:15" x14ac:dyDescent="0.2">
      <c r="F53" s="129" t="s">
        <v>33</v>
      </c>
      <c r="G53" s="129" t="s">
        <v>35</v>
      </c>
      <c r="H53" s="118"/>
      <c r="I53" s="169"/>
      <c r="J53" s="108">
        <f t="shared" ref="J53:J55" si="32">IF(H53&lt;&gt;0, H53,I53*($D$5-($J$43+$J$47)))</f>
        <v>0</v>
      </c>
      <c r="K53" s="109">
        <f t="shared" si="30"/>
        <v>0</v>
      </c>
      <c r="L53" s="118">
        <f>H53</f>
        <v>0</v>
      </c>
      <c r="M53" s="161">
        <f t="shared" si="26"/>
        <v>0</v>
      </c>
      <c r="N53" s="162">
        <f t="shared" si="27"/>
        <v>0</v>
      </c>
      <c r="O53" s="163">
        <f t="shared" si="28"/>
        <v>0</v>
      </c>
    </row>
    <row r="54" spans="6:15" x14ac:dyDescent="0.2">
      <c r="F54" s="129" t="s">
        <v>33</v>
      </c>
      <c r="G54" s="129" t="s">
        <v>7</v>
      </c>
      <c r="H54" s="118"/>
      <c r="I54" s="169"/>
      <c r="J54" s="108">
        <f t="shared" si="32"/>
        <v>0</v>
      </c>
      <c r="K54" s="109">
        <f t="shared" si="30"/>
        <v>0</v>
      </c>
      <c r="L54" s="118">
        <f>H54</f>
        <v>0</v>
      </c>
      <c r="M54" s="161">
        <f t="shared" si="26"/>
        <v>0</v>
      </c>
      <c r="N54" s="162">
        <f t="shared" si="27"/>
        <v>0</v>
      </c>
      <c r="O54" s="163">
        <f t="shared" si="28"/>
        <v>0</v>
      </c>
    </row>
    <row r="55" spans="6:15" x14ac:dyDescent="0.2">
      <c r="F55" s="129" t="s">
        <v>33</v>
      </c>
      <c r="G55" s="129" t="s">
        <v>8</v>
      </c>
      <c r="H55" s="118"/>
      <c r="I55" s="169"/>
      <c r="J55" s="108">
        <f t="shared" si="32"/>
        <v>0</v>
      </c>
      <c r="K55" s="109">
        <f t="shared" si="30"/>
        <v>0</v>
      </c>
      <c r="L55" s="118">
        <f>H55</f>
        <v>0</v>
      </c>
      <c r="M55" s="161">
        <f t="shared" si="26"/>
        <v>0</v>
      </c>
      <c r="N55" s="162">
        <f t="shared" si="27"/>
        <v>0</v>
      </c>
      <c r="O55" s="163">
        <f t="shared" si="28"/>
        <v>0</v>
      </c>
    </row>
    <row r="56" spans="6:15" x14ac:dyDescent="0.2">
      <c r="F56" s="237" t="s">
        <v>49</v>
      </c>
      <c r="G56" s="238"/>
      <c r="H56" s="252" t="s">
        <v>53</v>
      </c>
      <c r="I56" s="253"/>
      <c r="J56" s="138">
        <f t="shared" ref="J56:O56" si="33">SUM(J52:J55)</f>
        <v>0</v>
      </c>
      <c r="K56" s="139">
        <f t="shared" si="33"/>
        <v>0</v>
      </c>
      <c r="L56" s="252" t="s">
        <v>53</v>
      </c>
      <c r="M56" s="253"/>
      <c r="N56" s="138">
        <f t="shared" si="33"/>
        <v>0</v>
      </c>
      <c r="O56" s="139">
        <f t="shared" si="33"/>
        <v>0</v>
      </c>
    </row>
    <row r="57" spans="6:15" x14ac:dyDescent="0.2">
      <c r="J57" s="143">
        <f>J46+J51+J56</f>
        <v>0</v>
      </c>
      <c r="K57" s="144">
        <f>K46+K51+K56</f>
        <v>0</v>
      </c>
      <c r="N57" s="143">
        <f>N46+N51+N56</f>
        <v>0</v>
      </c>
      <c r="O57" s="144">
        <f>O46+O51+O56</f>
        <v>0</v>
      </c>
    </row>
    <row r="58" spans="6:15" x14ac:dyDescent="0.2">
      <c r="F58" s="256"/>
      <c r="G58" s="256"/>
      <c r="H58" s="256"/>
      <c r="I58" s="256"/>
      <c r="J58" s="256"/>
      <c r="K58" s="256"/>
    </row>
    <row r="59" spans="6:15" x14ac:dyDescent="0.2">
      <c r="F59" s="227" t="s">
        <v>40</v>
      </c>
      <c r="G59" s="227"/>
      <c r="H59" s="228"/>
      <c r="I59" s="228"/>
      <c r="J59" s="228"/>
      <c r="K59" s="228"/>
      <c r="L59" s="228"/>
      <c r="M59" s="228"/>
      <c r="N59" s="228"/>
      <c r="O59" s="228"/>
    </row>
    <row r="60" spans="6:15" x14ac:dyDescent="0.2">
      <c r="F60" s="235" t="s">
        <v>37</v>
      </c>
      <c r="G60" s="233" t="s">
        <v>27</v>
      </c>
      <c r="H60" s="245" t="s">
        <v>36</v>
      </c>
      <c r="I60" s="246"/>
      <c r="J60" s="246"/>
      <c r="K60" s="247"/>
      <c r="L60" s="245" t="s">
        <v>5</v>
      </c>
      <c r="M60" s="246"/>
      <c r="N60" s="246"/>
      <c r="O60" s="247"/>
    </row>
    <row r="61" spans="6:15" x14ac:dyDescent="0.2">
      <c r="F61" s="236"/>
      <c r="G61" s="234"/>
      <c r="H61" s="95" t="s">
        <v>3</v>
      </c>
      <c r="I61" s="96" t="s">
        <v>4</v>
      </c>
      <c r="J61" s="96" t="s">
        <v>3</v>
      </c>
      <c r="K61" s="97" t="s">
        <v>4</v>
      </c>
      <c r="L61" s="95" t="s">
        <v>3</v>
      </c>
      <c r="M61" s="96" t="s">
        <v>4</v>
      </c>
      <c r="N61" s="96" t="s">
        <v>3</v>
      </c>
      <c r="O61" s="97" t="s">
        <v>4</v>
      </c>
    </row>
    <row r="62" spans="6:15" x14ac:dyDescent="0.2">
      <c r="F62" s="99" t="s">
        <v>28</v>
      </c>
      <c r="G62" s="99" t="s">
        <v>29</v>
      </c>
      <c r="H62" s="100"/>
      <c r="I62" s="170"/>
      <c r="J62" s="108">
        <f>IF(H62&lt;&gt;0, H62, $D$6*I62)</f>
        <v>0</v>
      </c>
      <c r="K62" s="109">
        <f>IF(I62&lt;&gt;0, I62, IF($D$6=0,0,H62/$D$6))</f>
        <v>0</v>
      </c>
      <c r="L62" s="104" t="s">
        <v>22</v>
      </c>
      <c r="M62" s="159" t="s">
        <v>22</v>
      </c>
      <c r="N62" s="120" t="str">
        <f t="shared" ref="N62" si="34">IF(L62&lt;&gt;0, L62, $D$3*M62)</f>
        <v>n/a</v>
      </c>
      <c r="O62" s="160" t="str">
        <f t="shared" ref="O62" si="35">IF(M62&lt;&gt;0, M62, IF($D$3=0,0,L62/$D$3))</f>
        <v>n/a</v>
      </c>
    </row>
    <row r="63" spans="6:15" x14ac:dyDescent="0.2">
      <c r="F63" s="99" t="s">
        <v>28</v>
      </c>
      <c r="G63" s="99" t="s">
        <v>30</v>
      </c>
      <c r="H63" s="100"/>
      <c r="I63" s="170"/>
      <c r="J63" s="108">
        <f>IF(H63&lt;&gt;0, H63,I63*($D$6-($J$62+$J$66)))</f>
        <v>0</v>
      </c>
      <c r="K63" s="109">
        <f>IF(I63&lt;&gt;0, I63, IF($D$6=0,0,H63/($D$6-($J$62+$J$66))))</f>
        <v>0</v>
      </c>
      <c r="L63" s="100">
        <f>H63</f>
        <v>0</v>
      </c>
      <c r="M63" s="161">
        <f t="shared" ref="M63:M74" si="36">K63</f>
        <v>0</v>
      </c>
      <c r="N63" s="108">
        <f>IF(L63&lt;&gt;0, L63,M63*($D$6-($J$62+$J$66)))</f>
        <v>0</v>
      </c>
      <c r="O63" s="109">
        <f>IF(M63&lt;&gt;0, M63, IF($D$6=0,0,L63/($D$6-($J$62+$J$66))))</f>
        <v>0</v>
      </c>
    </row>
    <row r="64" spans="6:15" x14ac:dyDescent="0.2">
      <c r="F64" s="99" t="s">
        <v>28</v>
      </c>
      <c r="G64" s="99" t="s">
        <v>31</v>
      </c>
      <c r="H64" s="100"/>
      <c r="I64" s="170"/>
      <c r="J64" s="108">
        <f>IF(H64&lt;&gt;0, H64,I64*($D$6-($J$62+$J$66)))</f>
        <v>0</v>
      </c>
      <c r="K64" s="109">
        <f>IF(I64&lt;&gt;0, I64, IF($D$6=0,0,H64/($D$6-($J$62+$J$66))))</f>
        <v>0</v>
      </c>
      <c r="L64" s="100">
        <f>H64</f>
        <v>0</v>
      </c>
      <c r="M64" s="161">
        <f t="shared" si="36"/>
        <v>0</v>
      </c>
      <c r="N64" s="108">
        <f t="shared" ref="N64:N74" si="37">IF(L64&lt;&gt;0, L64,M64*($D$6-($J$62+$J$66)))</f>
        <v>0</v>
      </c>
      <c r="O64" s="109">
        <f t="shared" ref="O64:O74" si="38">IF(M64&lt;&gt;0, M64, IF($D$6=0,0,L64/($D$6-($J$62+$J$66))))</f>
        <v>0</v>
      </c>
    </row>
    <row r="65" spans="6:15" x14ac:dyDescent="0.2">
      <c r="F65" s="239" t="s">
        <v>47</v>
      </c>
      <c r="G65" s="240"/>
      <c r="H65" s="243" t="s">
        <v>53</v>
      </c>
      <c r="I65" s="244"/>
      <c r="J65" s="112">
        <f>SUM(J62:J64)</f>
        <v>0</v>
      </c>
      <c r="K65" s="113">
        <f>SUM(K62:K64)</f>
        <v>0</v>
      </c>
      <c r="L65" s="243" t="s">
        <v>53</v>
      </c>
      <c r="M65" s="244"/>
      <c r="N65" s="114">
        <f>SUM(N63:N64)</f>
        <v>0</v>
      </c>
      <c r="O65" s="115">
        <f>SUM(O63:O64)</f>
        <v>0</v>
      </c>
    </row>
    <row r="66" spans="6:15" x14ac:dyDescent="0.2">
      <c r="F66" s="117" t="s">
        <v>32</v>
      </c>
      <c r="G66" s="117" t="s">
        <v>29</v>
      </c>
      <c r="H66" s="118"/>
      <c r="I66" s="166"/>
      <c r="J66" s="108">
        <f>IF(H66&lt;&gt;0, H66, $D$6*I66)</f>
        <v>0</v>
      </c>
      <c r="K66" s="109">
        <f>IF(I66&lt;&gt;0, I66, IF($D$6=0,0,H66/$D$6))</f>
        <v>0</v>
      </c>
      <c r="L66" s="120" t="s">
        <v>22</v>
      </c>
      <c r="M66" s="159" t="s">
        <v>22</v>
      </c>
      <c r="N66" s="121" t="str">
        <f t="shared" si="37"/>
        <v>n/a</v>
      </c>
      <c r="O66" s="122" t="str">
        <f t="shared" si="38"/>
        <v>n/a</v>
      </c>
    </row>
    <row r="67" spans="6:15" x14ac:dyDescent="0.2">
      <c r="F67" s="117" t="s">
        <v>32</v>
      </c>
      <c r="G67" s="117" t="s">
        <v>30</v>
      </c>
      <c r="H67" s="118"/>
      <c r="I67" s="166"/>
      <c r="J67" s="108">
        <f>IF(H67&lt;&gt;0, H67,I67*($D$6-($J$62+$J$66)))</f>
        <v>0</v>
      </c>
      <c r="K67" s="109">
        <f>IF(I67&lt;&gt;0, I67, IF($D$6=0,0,H67/($D$6-($J$62+$J$66))))</f>
        <v>0</v>
      </c>
      <c r="L67" s="118">
        <f>H67</f>
        <v>0</v>
      </c>
      <c r="M67" s="161">
        <f t="shared" si="36"/>
        <v>0</v>
      </c>
      <c r="N67" s="108">
        <f t="shared" si="37"/>
        <v>0</v>
      </c>
      <c r="O67" s="109">
        <f t="shared" si="38"/>
        <v>0</v>
      </c>
    </row>
    <row r="68" spans="6:15" x14ac:dyDescent="0.2">
      <c r="F68" s="117" t="s">
        <v>32</v>
      </c>
      <c r="G68" s="117" t="s">
        <v>8</v>
      </c>
      <c r="H68" s="118"/>
      <c r="I68" s="166"/>
      <c r="J68" s="108">
        <f t="shared" ref="J68:J74" si="39">IF(H68&lt;&gt;0, H68,I68*($D$6-($J$62+$J$66)))</f>
        <v>0</v>
      </c>
      <c r="K68" s="109">
        <f t="shared" ref="K68:K74" si="40">IF(I68&lt;&gt;0, I68, IF($D$6=0,0,H68/($D$6-($J$62+$J$66))))</f>
        <v>0</v>
      </c>
      <c r="L68" s="118">
        <f>H68</f>
        <v>0</v>
      </c>
      <c r="M68" s="161">
        <f t="shared" si="36"/>
        <v>0</v>
      </c>
      <c r="N68" s="108">
        <f t="shared" si="37"/>
        <v>0</v>
      </c>
      <c r="O68" s="109">
        <f t="shared" si="38"/>
        <v>0</v>
      </c>
    </row>
    <row r="69" spans="6:15" x14ac:dyDescent="0.2">
      <c r="F69" s="117" t="s">
        <v>32</v>
      </c>
      <c r="G69" s="117" t="s">
        <v>31</v>
      </c>
      <c r="H69" s="118"/>
      <c r="I69" s="166"/>
      <c r="J69" s="108">
        <f t="shared" si="39"/>
        <v>0</v>
      </c>
      <c r="K69" s="109">
        <f t="shared" si="40"/>
        <v>0</v>
      </c>
      <c r="L69" s="118">
        <f>H69</f>
        <v>0</v>
      </c>
      <c r="M69" s="161">
        <f t="shared" si="36"/>
        <v>0</v>
      </c>
      <c r="N69" s="108">
        <f t="shared" si="37"/>
        <v>0</v>
      </c>
      <c r="O69" s="109">
        <f t="shared" si="38"/>
        <v>0</v>
      </c>
    </row>
    <row r="70" spans="6:15" x14ac:dyDescent="0.2">
      <c r="F70" s="241" t="s">
        <v>48</v>
      </c>
      <c r="G70" s="242"/>
      <c r="H70" s="250" t="s">
        <v>53</v>
      </c>
      <c r="I70" s="251"/>
      <c r="J70" s="127">
        <f>SUM(J66:J69)</f>
        <v>0</v>
      </c>
      <c r="K70" s="128">
        <f>SUM(K66:K69)</f>
        <v>0</v>
      </c>
      <c r="L70" s="250" t="s">
        <v>53</v>
      </c>
      <c r="M70" s="251"/>
      <c r="N70" s="127">
        <f>SUM(N67:N69)</f>
        <v>0</v>
      </c>
      <c r="O70" s="128">
        <f>SUM(O67:O69)</f>
        <v>0</v>
      </c>
    </row>
    <row r="71" spans="6:15" x14ac:dyDescent="0.2">
      <c r="F71" s="129" t="s">
        <v>33</v>
      </c>
      <c r="G71" s="129" t="s">
        <v>34</v>
      </c>
      <c r="H71" s="118"/>
      <c r="I71" s="169"/>
      <c r="J71" s="108">
        <f t="shared" si="39"/>
        <v>0</v>
      </c>
      <c r="K71" s="109">
        <f t="shared" si="40"/>
        <v>0</v>
      </c>
      <c r="L71" s="118">
        <f>H71</f>
        <v>0</v>
      </c>
      <c r="M71" s="161">
        <f t="shared" si="36"/>
        <v>0</v>
      </c>
      <c r="N71" s="108">
        <f t="shared" si="37"/>
        <v>0</v>
      </c>
      <c r="O71" s="109">
        <f t="shared" si="38"/>
        <v>0</v>
      </c>
    </row>
    <row r="72" spans="6:15" x14ac:dyDescent="0.2">
      <c r="F72" s="129" t="s">
        <v>33</v>
      </c>
      <c r="G72" s="129" t="s">
        <v>35</v>
      </c>
      <c r="H72" s="118"/>
      <c r="I72" s="169"/>
      <c r="J72" s="108">
        <f t="shared" si="39"/>
        <v>0</v>
      </c>
      <c r="K72" s="109">
        <f t="shared" si="40"/>
        <v>0</v>
      </c>
      <c r="L72" s="118">
        <f>H72</f>
        <v>0</v>
      </c>
      <c r="M72" s="161">
        <f t="shared" si="36"/>
        <v>0</v>
      </c>
      <c r="N72" s="108">
        <f t="shared" si="37"/>
        <v>0</v>
      </c>
      <c r="O72" s="109">
        <f t="shared" si="38"/>
        <v>0</v>
      </c>
    </row>
    <row r="73" spans="6:15" x14ac:dyDescent="0.2">
      <c r="F73" s="129" t="s">
        <v>33</v>
      </c>
      <c r="G73" s="129" t="s">
        <v>7</v>
      </c>
      <c r="H73" s="118"/>
      <c r="I73" s="169"/>
      <c r="J73" s="108">
        <f t="shared" si="39"/>
        <v>0</v>
      </c>
      <c r="K73" s="109">
        <f t="shared" si="40"/>
        <v>0</v>
      </c>
      <c r="L73" s="118">
        <f>H73</f>
        <v>0</v>
      </c>
      <c r="M73" s="161">
        <f t="shared" si="36"/>
        <v>0</v>
      </c>
      <c r="N73" s="108">
        <f t="shared" si="37"/>
        <v>0</v>
      </c>
      <c r="O73" s="109">
        <f t="shared" si="38"/>
        <v>0</v>
      </c>
    </row>
    <row r="74" spans="6:15" x14ac:dyDescent="0.2">
      <c r="F74" s="129" t="s">
        <v>33</v>
      </c>
      <c r="G74" s="129" t="s">
        <v>8</v>
      </c>
      <c r="H74" s="118"/>
      <c r="I74" s="169"/>
      <c r="J74" s="108">
        <f t="shared" si="39"/>
        <v>0</v>
      </c>
      <c r="K74" s="109">
        <f t="shared" si="40"/>
        <v>0</v>
      </c>
      <c r="L74" s="118">
        <f>H74</f>
        <v>0</v>
      </c>
      <c r="M74" s="161">
        <f t="shared" si="36"/>
        <v>0</v>
      </c>
      <c r="N74" s="108">
        <f t="shared" si="37"/>
        <v>0</v>
      </c>
      <c r="O74" s="109">
        <f t="shared" si="38"/>
        <v>0</v>
      </c>
    </row>
    <row r="75" spans="6:15" x14ac:dyDescent="0.2">
      <c r="F75" s="237" t="s">
        <v>49</v>
      </c>
      <c r="G75" s="238"/>
      <c r="H75" s="252" t="s">
        <v>53</v>
      </c>
      <c r="I75" s="253"/>
      <c r="J75" s="138">
        <f t="shared" ref="J75:O75" si="41">SUM(J71:J74)</f>
        <v>0</v>
      </c>
      <c r="K75" s="139">
        <f t="shared" si="41"/>
        <v>0</v>
      </c>
      <c r="L75" s="252" t="s">
        <v>53</v>
      </c>
      <c r="M75" s="253"/>
      <c r="N75" s="138">
        <f t="shared" si="41"/>
        <v>0</v>
      </c>
      <c r="O75" s="139">
        <f t="shared" si="41"/>
        <v>0</v>
      </c>
    </row>
    <row r="76" spans="6:15" x14ac:dyDescent="0.2">
      <c r="J76" s="143">
        <f>J65+J70+J75</f>
        <v>0</v>
      </c>
      <c r="K76" s="144">
        <f>K65+K70+K75</f>
        <v>0</v>
      </c>
      <c r="N76" s="143">
        <f>N65+N70+N75</f>
        <v>0</v>
      </c>
      <c r="O76" s="144">
        <f>O65+O70+O75</f>
        <v>0</v>
      </c>
    </row>
    <row r="77" spans="6:15" x14ac:dyDescent="0.2">
      <c r="F77" s="146"/>
      <c r="G77" s="146"/>
      <c r="H77" s="146"/>
      <c r="I77" s="146"/>
      <c r="J77" s="146"/>
      <c r="K77" s="146"/>
    </row>
    <row r="78" spans="6:15" x14ac:dyDescent="0.2">
      <c r="F78" s="227" t="s">
        <v>41</v>
      </c>
      <c r="G78" s="227"/>
      <c r="H78" s="228"/>
      <c r="I78" s="228"/>
      <c r="J78" s="228"/>
      <c r="K78" s="228"/>
      <c r="L78" s="228"/>
      <c r="M78" s="228"/>
      <c r="N78" s="228"/>
      <c r="O78" s="228"/>
    </row>
    <row r="79" spans="6:15" x14ac:dyDescent="0.2">
      <c r="F79" s="235" t="s">
        <v>37</v>
      </c>
      <c r="G79" s="233" t="s">
        <v>27</v>
      </c>
      <c r="H79" s="245" t="s">
        <v>36</v>
      </c>
      <c r="I79" s="246"/>
      <c r="J79" s="246"/>
      <c r="K79" s="246"/>
      <c r="L79" s="245" t="s">
        <v>5</v>
      </c>
      <c r="M79" s="246"/>
      <c r="N79" s="246"/>
      <c r="O79" s="247"/>
    </row>
    <row r="80" spans="6:15" x14ac:dyDescent="0.2">
      <c r="F80" s="236"/>
      <c r="G80" s="234"/>
      <c r="H80" s="95" t="s">
        <v>3</v>
      </c>
      <c r="I80" s="96" t="s">
        <v>4</v>
      </c>
      <c r="J80" s="96" t="s">
        <v>3</v>
      </c>
      <c r="K80" s="96" t="s">
        <v>4</v>
      </c>
      <c r="L80" s="95" t="s">
        <v>3</v>
      </c>
      <c r="M80" s="96" t="s">
        <v>4</v>
      </c>
      <c r="N80" s="96" t="s">
        <v>3</v>
      </c>
      <c r="O80" s="97" t="s">
        <v>4</v>
      </c>
    </row>
    <row r="81" spans="6:15" x14ac:dyDescent="0.2">
      <c r="F81" s="99" t="s">
        <v>28</v>
      </c>
      <c r="G81" s="99" t="s">
        <v>29</v>
      </c>
      <c r="H81" s="100"/>
      <c r="I81" s="158"/>
      <c r="J81" s="108">
        <f>IF(H81&lt;&gt;0, H81, $D$7*I81)</f>
        <v>0</v>
      </c>
      <c r="K81" s="109">
        <f>IF(I81&lt;&gt;0, I81, IF($D$7=0,0,H81/$D$7))</f>
        <v>0</v>
      </c>
      <c r="L81" s="104" t="s">
        <v>22</v>
      </c>
      <c r="M81" s="105" t="s">
        <v>22</v>
      </c>
      <c r="N81" s="120" t="str">
        <f t="shared" ref="N81" si="42">IF(L81&lt;&gt;0, L81, $D$3*M81)</f>
        <v>n/a</v>
      </c>
      <c r="O81" s="160" t="str">
        <f t="shared" ref="O81" si="43">IF(M81&lt;&gt;0, M81, IF($D$3=0,0,L81/$D$3))</f>
        <v>n/a</v>
      </c>
    </row>
    <row r="82" spans="6:15" x14ac:dyDescent="0.2">
      <c r="F82" s="99" t="s">
        <v>28</v>
      </c>
      <c r="G82" s="99" t="s">
        <v>30</v>
      </c>
      <c r="H82" s="100"/>
      <c r="I82" s="158"/>
      <c r="J82" s="108">
        <f>IF(H82&lt;&gt;0, H82,I82*($D$7-($J$81+$J$85)))</f>
        <v>0</v>
      </c>
      <c r="K82" s="109">
        <f>IF(I82&lt;&gt;0, I82, IF($D$7=0,0,H82/($D$7-($J$81+$J$85))))</f>
        <v>0</v>
      </c>
      <c r="L82" s="100">
        <f>H82</f>
        <v>0</v>
      </c>
      <c r="M82" s="101">
        <f t="shared" ref="M82:M93" si="44">K82</f>
        <v>0</v>
      </c>
      <c r="N82" s="108">
        <f>IF(L82&lt;&gt;0, L82,M82*($D$7-($J$81+$J$85)))</f>
        <v>0</v>
      </c>
      <c r="O82" s="109">
        <f>IF(M82&lt;&gt;0, M82, IF($D$7=0,0,L82/($D$7-($J$81+$J$85))))</f>
        <v>0</v>
      </c>
    </row>
    <row r="83" spans="6:15" x14ac:dyDescent="0.2">
      <c r="F83" s="99" t="s">
        <v>28</v>
      </c>
      <c r="G83" s="99" t="s">
        <v>31</v>
      </c>
      <c r="H83" s="100"/>
      <c r="I83" s="158"/>
      <c r="J83" s="108">
        <f>IF(H83&lt;&gt;0, H83,I83*($D$7-($J$81+$J$85)))</f>
        <v>0</v>
      </c>
      <c r="K83" s="109">
        <f>IF(I83&lt;&gt;0, I83, IF($D$7=0,0,H83/($D$7-($J$81+$J$85))))</f>
        <v>0</v>
      </c>
      <c r="L83" s="100">
        <f>H83</f>
        <v>0</v>
      </c>
      <c r="M83" s="101">
        <f t="shared" si="44"/>
        <v>0</v>
      </c>
      <c r="N83" s="108">
        <f t="shared" ref="N83:N93" si="45">IF(L83&lt;&gt;0, L83,M83*($D$7-($J$81+$J$85)))</f>
        <v>0</v>
      </c>
      <c r="O83" s="109">
        <f t="shared" ref="O83:O93" si="46">IF(M83&lt;&gt;0, M83, IF($D$7=0,0,L83/($D$7-($J$81+$J$85))))</f>
        <v>0</v>
      </c>
    </row>
    <row r="84" spans="6:15" x14ac:dyDescent="0.2">
      <c r="F84" s="239" t="s">
        <v>47</v>
      </c>
      <c r="G84" s="240"/>
      <c r="H84" s="243" t="s">
        <v>53</v>
      </c>
      <c r="I84" s="244"/>
      <c r="J84" s="112">
        <f>SUM(J81:J83)</f>
        <v>0</v>
      </c>
      <c r="K84" s="113">
        <f>SUM(K81:K83)</f>
        <v>0</v>
      </c>
      <c r="L84" s="243" t="s">
        <v>53</v>
      </c>
      <c r="M84" s="244"/>
      <c r="N84" s="114">
        <f>SUM(N82:N83)</f>
        <v>0</v>
      </c>
      <c r="O84" s="115">
        <f>SUM(O82:O83)</f>
        <v>0</v>
      </c>
    </row>
    <row r="85" spans="6:15" x14ac:dyDescent="0.2">
      <c r="F85" s="117" t="s">
        <v>32</v>
      </c>
      <c r="G85" s="117" t="s">
        <v>29</v>
      </c>
      <c r="H85" s="118"/>
      <c r="I85" s="166"/>
      <c r="J85" s="108">
        <f>IF(H85&lt;&gt;0, H85, $D$7*I85)</f>
        <v>0</v>
      </c>
      <c r="K85" s="109">
        <f>IF(I85&lt;&gt;0, I85, IF($D$7=0,0,H85/$D$7))</f>
        <v>0</v>
      </c>
      <c r="L85" s="120" t="s">
        <v>22</v>
      </c>
      <c r="M85" s="105" t="s">
        <v>22</v>
      </c>
      <c r="N85" s="121" t="str">
        <f t="shared" si="45"/>
        <v>n/a</v>
      </c>
      <c r="O85" s="122" t="str">
        <f t="shared" si="46"/>
        <v>n/a</v>
      </c>
    </row>
    <row r="86" spans="6:15" x14ac:dyDescent="0.2">
      <c r="F86" s="117" t="s">
        <v>32</v>
      </c>
      <c r="G86" s="117" t="s">
        <v>30</v>
      </c>
      <c r="H86" s="118"/>
      <c r="I86" s="166"/>
      <c r="J86" s="108">
        <f>IF(H86&lt;&gt;0, H86,I86*($D$7-($J$81+$J$85)))</f>
        <v>0</v>
      </c>
      <c r="K86" s="109">
        <f>IF(I86&lt;&gt;0, I86, IF($D$7=0,0,H86/($D$7-($J$81+$J$85))))</f>
        <v>0</v>
      </c>
      <c r="L86" s="118">
        <f>H86</f>
        <v>0</v>
      </c>
      <c r="M86" s="101">
        <f t="shared" si="44"/>
        <v>0</v>
      </c>
      <c r="N86" s="108">
        <f t="shared" si="45"/>
        <v>0</v>
      </c>
      <c r="O86" s="109">
        <f t="shared" si="46"/>
        <v>0</v>
      </c>
    </row>
    <row r="87" spans="6:15" x14ac:dyDescent="0.2">
      <c r="F87" s="117" t="s">
        <v>32</v>
      </c>
      <c r="G87" s="117" t="s">
        <v>8</v>
      </c>
      <c r="H87" s="118"/>
      <c r="I87" s="166"/>
      <c r="J87" s="108">
        <f t="shared" ref="J87:J88" si="47">IF(H87&lt;&gt;0, H87,I87*($D$7-($J$81+$J$85)))</f>
        <v>0</v>
      </c>
      <c r="K87" s="109">
        <f t="shared" ref="K87:K93" si="48">IF(I87&lt;&gt;0, I87, IF($D$7=0,0,H87/($D$7-($J$81+$J$85))))</f>
        <v>0</v>
      </c>
      <c r="L87" s="118">
        <f>H87</f>
        <v>0</v>
      </c>
      <c r="M87" s="101">
        <f t="shared" si="44"/>
        <v>0</v>
      </c>
      <c r="N87" s="108">
        <f t="shared" si="45"/>
        <v>0</v>
      </c>
      <c r="O87" s="109">
        <f t="shared" si="46"/>
        <v>0</v>
      </c>
    </row>
    <row r="88" spans="6:15" x14ac:dyDescent="0.2">
      <c r="F88" s="117" t="s">
        <v>32</v>
      </c>
      <c r="G88" s="117" t="s">
        <v>31</v>
      </c>
      <c r="H88" s="118"/>
      <c r="I88" s="166"/>
      <c r="J88" s="108">
        <f t="shared" si="47"/>
        <v>0</v>
      </c>
      <c r="K88" s="109">
        <f t="shared" si="48"/>
        <v>0</v>
      </c>
      <c r="L88" s="118">
        <f>H88</f>
        <v>0</v>
      </c>
      <c r="M88" s="101">
        <f t="shared" si="44"/>
        <v>0</v>
      </c>
      <c r="N88" s="108">
        <f t="shared" si="45"/>
        <v>0</v>
      </c>
      <c r="O88" s="109">
        <f t="shared" si="46"/>
        <v>0</v>
      </c>
    </row>
    <row r="89" spans="6:15" x14ac:dyDescent="0.2">
      <c r="F89" s="241" t="s">
        <v>48</v>
      </c>
      <c r="G89" s="242"/>
      <c r="H89" s="250" t="s">
        <v>53</v>
      </c>
      <c r="I89" s="251"/>
      <c r="J89" s="127">
        <f>SUM(J85:J88)</f>
        <v>0</v>
      </c>
      <c r="K89" s="128">
        <f>SUM(K85:K88)</f>
        <v>0</v>
      </c>
      <c r="L89" s="250" t="s">
        <v>53</v>
      </c>
      <c r="M89" s="251"/>
      <c r="N89" s="127">
        <f>SUM(N86:N88)</f>
        <v>0</v>
      </c>
      <c r="O89" s="128">
        <f>SUM(O86:O88)</f>
        <v>0</v>
      </c>
    </row>
    <row r="90" spans="6:15" x14ac:dyDescent="0.2">
      <c r="F90" s="129" t="s">
        <v>33</v>
      </c>
      <c r="G90" s="129" t="s">
        <v>34</v>
      </c>
      <c r="H90" s="118"/>
      <c r="I90" s="169"/>
      <c r="J90" s="108">
        <f>IF(H90&lt;&gt;0, H90,I90*($D$7-($J$81+$J$85)))</f>
        <v>0</v>
      </c>
      <c r="K90" s="109">
        <f t="shared" si="48"/>
        <v>0</v>
      </c>
      <c r="L90" s="118">
        <f>H90</f>
        <v>0</v>
      </c>
      <c r="M90" s="101">
        <f t="shared" si="44"/>
        <v>0</v>
      </c>
      <c r="N90" s="108">
        <f t="shared" si="45"/>
        <v>0</v>
      </c>
      <c r="O90" s="109">
        <f t="shared" si="46"/>
        <v>0</v>
      </c>
    </row>
    <row r="91" spans="6:15" x14ac:dyDescent="0.2">
      <c r="F91" s="129" t="s">
        <v>33</v>
      </c>
      <c r="G91" s="129" t="s">
        <v>35</v>
      </c>
      <c r="H91" s="118"/>
      <c r="I91" s="169"/>
      <c r="J91" s="108">
        <f t="shared" ref="J91:J93" si="49">IF(H91&lt;&gt;0, H91,I91*($D$7-($J$81+$J$85)))</f>
        <v>0</v>
      </c>
      <c r="K91" s="109">
        <f t="shared" si="48"/>
        <v>0</v>
      </c>
      <c r="L91" s="118">
        <f>H91</f>
        <v>0</v>
      </c>
      <c r="M91" s="101">
        <f t="shared" si="44"/>
        <v>0</v>
      </c>
      <c r="N91" s="108">
        <f t="shared" si="45"/>
        <v>0</v>
      </c>
      <c r="O91" s="109">
        <f t="shared" si="46"/>
        <v>0</v>
      </c>
    </row>
    <row r="92" spans="6:15" x14ac:dyDescent="0.2">
      <c r="F92" s="129" t="s">
        <v>33</v>
      </c>
      <c r="G92" s="129" t="s">
        <v>7</v>
      </c>
      <c r="H92" s="118"/>
      <c r="I92" s="169"/>
      <c r="J92" s="108">
        <f t="shared" si="49"/>
        <v>0</v>
      </c>
      <c r="K92" s="109">
        <f t="shared" si="48"/>
        <v>0</v>
      </c>
      <c r="L92" s="118">
        <f>H92</f>
        <v>0</v>
      </c>
      <c r="M92" s="101">
        <f t="shared" si="44"/>
        <v>0</v>
      </c>
      <c r="N92" s="108">
        <f t="shared" si="45"/>
        <v>0</v>
      </c>
      <c r="O92" s="109">
        <f t="shared" si="46"/>
        <v>0</v>
      </c>
    </row>
    <row r="93" spans="6:15" x14ac:dyDescent="0.2">
      <c r="F93" s="129" t="s">
        <v>33</v>
      </c>
      <c r="G93" s="129" t="s">
        <v>8</v>
      </c>
      <c r="H93" s="118"/>
      <c r="I93" s="169"/>
      <c r="J93" s="108">
        <f t="shared" si="49"/>
        <v>0</v>
      </c>
      <c r="K93" s="109">
        <f t="shared" si="48"/>
        <v>0</v>
      </c>
      <c r="L93" s="118">
        <f>H93</f>
        <v>0</v>
      </c>
      <c r="M93" s="101">
        <f t="shared" si="44"/>
        <v>0</v>
      </c>
      <c r="N93" s="108">
        <f t="shared" si="45"/>
        <v>0</v>
      </c>
      <c r="O93" s="109">
        <f t="shared" si="46"/>
        <v>0</v>
      </c>
    </row>
    <row r="94" spans="6:15" x14ac:dyDescent="0.2">
      <c r="F94" s="237" t="s">
        <v>49</v>
      </c>
      <c r="G94" s="238"/>
      <c r="H94" s="252" t="s">
        <v>53</v>
      </c>
      <c r="I94" s="253"/>
      <c r="J94" s="138">
        <f t="shared" ref="J94:O94" si="50">SUM(J90:J93)</f>
        <v>0</v>
      </c>
      <c r="K94" s="139">
        <f t="shared" si="50"/>
        <v>0</v>
      </c>
      <c r="L94" s="252" t="s">
        <v>53</v>
      </c>
      <c r="M94" s="253"/>
      <c r="N94" s="138">
        <f t="shared" si="50"/>
        <v>0</v>
      </c>
      <c r="O94" s="139">
        <f t="shared" si="50"/>
        <v>0</v>
      </c>
    </row>
    <row r="95" spans="6:15" x14ac:dyDescent="0.2">
      <c r="J95" s="143">
        <f>J84+J89+J94</f>
        <v>0</v>
      </c>
      <c r="K95" s="144">
        <f>K84+K89+K94</f>
        <v>0</v>
      </c>
      <c r="N95" s="143">
        <f>N84+N89+N94</f>
        <v>0</v>
      </c>
      <c r="O95" s="144">
        <f>O84+O89+O94</f>
        <v>0</v>
      </c>
    </row>
    <row r="96" spans="6:15" x14ac:dyDescent="0.2">
      <c r="F96" s="256"/>
      <c r="G96" s="256"/>
      <c r="H96" s="256"/>
      <c r="I96" s="256"/>
      <c r="J96" s="256"/>
      <c r="K96" s="256"/>
    </row>
    <row r="97" spans="6:11" x14ac:dyDescent="0.2">
      <c r="F97" s="171"/>
      <c r="G97" s="171"/>
      <c r="H97" s="171"/>
      <c r="I97" s="171"/>
      <c r="J97" s="171"/>
      <c r="K97" s="171"/>
    </row>
    <row r="98" spans="6:11" x14ac:dyDescent="0.2">
      <c r="F98" s="146"/>
      <c r="G98" s="146"/>
      <c r="H98" s="172"/>
      <c r="I98" s="173"/>
      <c r="J98" s="172"/>
      <c r="K98" s="174"/>
    </row>
    <row r="99" spans="6:11" x14ac:dyDescent="0.2">
      <c r="F99" s="146"/>
      <c r="G99" s="146"/>
      <c r="H99" s="172"/>
      <c r="I99" s="173"/>
      <c r="J99" s="172"/>
      <c r="K99" s="174"/>
    </row>
    <row r="100" spans="6:11" x14ac:dyDescent="0.2">
      <c r="F100" s="146"/>
      <c r="G100" s="146"/>
      <c r="H100" s="172"/>
      <c r="I100" s="173"/>
      <c r="J100" s="172"/>
      <c r="K100" s="174"/>
    </row>
    <row r="101" spans="6:11" x14ac:dyDescent="0.2">
      <c r="F101" s="146"/>
      <c r="G101" s="146"/>
      <c r="H101" s="146"/>
      <c r="I101" s="146"/>
      <c r="J101" s="155"/>
      <c r="K101" s="156"/>
    </row>
    <row r="102" spans="6:11" x14ac:dyDescent="0.2">
      <c r="F102" s="146"/>
      <c r="G102" s="146"/>
      <c r="H102" s="146"/>
      <c r="I102" s="146"/>
      <c r="J102" s="146"/>
      <c r="K102" s="146"/>
    </row>
    <row r="103" spans="6:11" x14ac:dyDescent="0.2">
      <c r="F103" s="256"/>
      <c r="G103" s="256"/>
      <c r="H103" s="256"/>
      <c r="I103" s="256"/>
      <c r="J103" s="256"/>
      <c r="K103" s="256"/>
    </row>
    <row r="104" spans="6:11" x14ac:dyDescent="0.2">
      <c r="F104" s="171"/>
      <c r="G104" s="171"/>
      <c r="H104" s="171"/>
      <c r="I104" s="171"/>
      <c r="J104" s="171"/>
      <c r="K104" s="171"/>
    </row>
    <row r="105" spans="6:11" x14ac:dyDescent="0.2">
      <c r="F105" s="146"/>
      <c r="G105" s="146"/>
      <c r="H105" s="175"/>
      <c r="I105" s="176"/>
      <c r="J105" s="175"/>
      <c r="K105" s="177"/>
    </row>
    <row r="106" spans="6:11" x14ac:dyDescent="0.2">
      <c r="F106" s="146"/>
      <c r="G106" s="146"/>
      <c r="H106" s="175"/>
      <c r="I106" s="176"/>
      <c r="J106" s="175"/>
      <c r="K106" s="177"/>
    </row>
    <row r="107" spans="6:11" x14ac:dyDescent="0.2">
      <c r="F107" s="146"/>
      <c r="G107" s="146"/>
      <c r="H107" s="175"/>
      <c r="I107" s="176"/>
      <c r="J107" s="175"/>
      <c r="K107" s="177"/>
    </row>
    <row r="108" spans="6:11" x14ac:dyDescent="0.2">
      <c r="F108" s="146"/>
      <c r="G108" s="146"/>
      <c r="H108" s="175"/>
      <c r="I108" s="176"/>
      <c r="J108" s="175"/>
      <c r="K108" s="177"/>
    </row>
    <row r="109" spans="6:11" x14ac:dyDescent="0.2">
      <c r="F109" s="146"/>
      <c r="G109" s="146"/>
      <c r="H109" s="146"/>
      <c r="I109" s="146"/>
      <c r="J109" s="178"/>
      <c r="K109" s="179"/>
    </row>
    <row r="110" spans="6:11" x14ac:dyDescent="0.2">
      <c r="F110" s="146"/>
      <c r="G110" s="146"/>
      <c r="H110" s="146"/>
      <c r="I110" s="146"/>
      <c r="J110" s="146"/>
      <c r="K110" s="146"/>
    </row>
    <row r="111" spans="6:11" x14ac:dyDescent="0.2">
      <c r="F111" s="146"/>
      <c r="G111" s="146"/>
      <c r="H111" s="146"/>
      <c r="I111" s="146"/>
      <c r="J111" s="146"/>
      <c r="K111" s="146"/>
    </row>
  </sheetData>
  <mergeCells count="79">
    <mergeCell ref="F103:K103"/>
    <mergeCell ref="F58:K58"/>
    <mergeCell ref="F78:O78"/>
    <mergeCell ref="H79:K79"/>
    <mergeCell ref="L79:O79"/>
    <mergeCell ref="H65:I65"/>
    <mergeCell ref="H70:I70"/>
    <mergeCell ref="H75:I75"/>
    <mergeCell ref="L65:M65"/>
    <mergeCell ref="L70:M70"/>
    <mergeCell ref="L75:M75"/>
    <mergeCell ref="H84:I84"/>
    <mergeCell ref="H89:I89"/>
    <mergeCell ref="H94:I94"/>
    <mergeCell ref="L84:M84"/>
    <mergeCell ref="L89:M89"/>
    <mergeCell ref="H60:K60"/>
    <mergeCell ref="L60:O60"/>
    <mergeCell ref="F96:K96"/>
    <mergeCell ref="H51:I51"/>
    <mergeCell ref="H56:I56"/>
    <mergeCell ref="L51:M51"/>
    <mergeCell ref="L56:M56"/>
    <mergeCell ref="L94:M94"/>
    <mergeCell ref="F65:G65"/>
    <mergeCell ref="F70:G70"/>
    <mergeCell ref="F75:G75"/>
    <mergeCell ref="F94:G94"/>
    <mergeCell ref="F89:G89"/>
    <mergeCell ref="F84:G84"/>
    <mergeCell ref="F51:G51"/>
    <mergeCell ref="B8:C8"/>
    <mergeCell ref="H13:I13"/>
    <mergeCell ref="H8:I8"/>
    <mergeCell ref="H18:I18"/>
    <mergeCell ref="F59:O59"/>
    <mergeCell ref="L8:M8"/>
    <mergeCell ref="L13:M13"/>
    <mergeCell ref="L18:M18"/>
    <mergeCell ref="H27:I27"/>
    <mergeCell ref="H32:I32"/>
    <mergeCell ref="H37:I37"/>
    <mergeCell ref="L27:M27"/>
    <mergeCell ref="L32:M32"/>
    <mergeCell ref="L37:M37"/>
    <mergeCell ref="H46:I46"/>
    <mergeCell ref="B9:B10"/>
    <mergeCell ref="L46:M46"/>
    <mergeCell ref="L41:O41"/>
    <mergeCell ref="H41:K41"/>
    <mergeCell ref="L3:O3"/>
    <mergeCell ref="F2:O2"/>
    <mergeCell ref="F21:O21"/>
    <mergeCell ref="H22:K22"/>
    <mergeCell ref="L22:O22"/>
    <mergeCell ref="G3:G4"/>
    <mergeCell ref="F3:F4"/>
    <mergeCell ref="G22:G23"/>
    <mergeCell ref="F22:F23"/>
    <mergeCell ref="F8:G8"/>
    <mergeCell ref="F13:G13"/>
    <mergeCell ref="F18:G18"/>
    <mergeCell ref="H3:K3"/>
    <mergeCell ref="G60:G61"/>
    <mergeCell ref="G79:G80"/>
    <mergeCell ref="F79:F80"/>
    <mergeCell ref="F56:G56"/>
    <mergeCell ref="F27:G27"/>
    <mergeCell ref="F32:G32"/>
    <mergeCell ref="F37:G37"/>
    <mergeCell ref="F46:G46"/>
    <mergeCell ref="G41:G42"/>
    <mergeCell ref="F41:F42"/>
    <mergeCell ref="F60:F61"/>
    <mergeCell ref="B15:D15"/>
    <mergeCell ref="B29:D29"/>
    <mergeCell ref="F40:O40"/>
    <mergeCell ref="B11:C11"/>
    <mergeCell ref="B12:C12"/>
  </mergeCells>
  <conditionalFormatting sqref="J1:K1 L8 J38:K39 N38:O38 J57:K58 N57:O57 J76:K77 N76:O76 J95:K1028 N95:O95 J5:K20 N5:O19 J24:K26 J28:K31 J33:K36 N24:O36 J52:J55 J43:K45 J47:K50 K51:K55 N43:O55 J62:K64 J66:K74 N62:O74 J81:K83 N81:O93 J85:K93">
    <cfRule type="cellIs" dxfId="10" priority="24" operator="equal">
      <formula>0</formula>
    </cfRule>
  </conditionalFormatting>
  <conditionalFormatting sqref="J27:L27">
    <cfRule type="cellIs" dxfId="9" priority="13" operator="equal">
      <formula>0</formula>
    </cfRule>
  </conditionalFormatting>
  <conditionalFormatting sqref="J32:K32">
    <cfRule type="cellIs" dxfId="8" priority="12" operator="equal">
      <formula>0</formula>
    </cfRule>
  </conditionalFormatting>
  <conditionalFormatting sqref="J37:K37 N37:O37">
    <cfRule type="cellIs" dxfId="7" priority="11" operator="equal">
      <formula>0</formula>
    </cfRule>
  </conditionalFormatting>
  <conditionalFormatting sqref="J46:K46">
    <cfRule type="cellIs" dxfId="6" priority="10" operator="equal">
      <formula>0</formula>
    </cfRule>
  </conditionalFormatting>
  <conditionalFormatting sqref="J51">
    <cfRule type="cellIs" dxfId="5" priority="9" operator="equal">
      <formula>0</formula>
    </cfRule>
  </conditionalFormatting>
  <conditionalFormatting sqref="J56:K56 N56:O56">
    <cfRule type="cellIs" dxfId="4" priority="8" operator="equal">
      <formula>0</formula>
    </cfRule>
  </conditionalFormatting>
  <conditionalFormatting sqref="J65:K65">
    <cfRule type="cellIs" dxfId="3" priority="7" operator="equal">
      <formula>0</formula>
    </cfRule>
  </conditionalFormatting>
  <conditionalFormatting sqref="J84:K84">
    <cfRule type="cellIs" dxfId="2" priority="6" operator="equal">
      <formula>0</formula>
    </cfRule>
  </conditionalFormatting>
  <conditionalFormatting sqref="J75:K75 N75:O75">
    <cfRule type="cellIs" dxfId="1" priority="3" operator="equal">
      <formula>0</formula>
    </cfRule>
  </conditionalFormatting>
  <conditionalFormatting sqref="J94:K94 N94:O94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Normal="100" workbookViewId="0">
      <selection activeCell="I55" sqref="I55"/>
    </sheetView>
  </sheetViews>
  <sheetFormatPr defaultRowHeight="14.25" x14ac:dyDescent="0.2"/>
  <cols>
    <col min="1" max="1" width="5.125" customWidth="1"/>
    <col min="2" max="2" width="40.25" customWidth="1"/>
    <col min="3" max="6" width="12.25" customWidth="1"/>
    <col min="7" max="7" width="5.125" customWidth="1"/>
    <col min="8" max="8" width="45.375" customWidth="1"/>
    <col min="9" max="9" width="15.125" customWidth="1"/>
    <col min="10" max="10" width="15.375" customWidth="1"/>
    <col min="11" max="11" width="14.5" customWidth="1"/>
    <col min="12" max="14" width="13.625" customWidth="1"/>
    <col min="15" max="15" width="11.75" customWidth="1"/>
  </cols>
  <sheetData>
    <row r="1" spans="1:16" ht="15" thickBot="1" x14ac:dyDescent="0.25"/>
    <row r="2" spans="1:16" ht="51" customHeight="1" thickBot="1" x14ac:dyDescent="0.25">
      <c r="B2" s="8" t="s">
        <v>14</v>
      </c>
      <c r="C2" s="268" t="s">
        <v>15</v>
      </c>
      <c r="D2" s="269"/>
      <c r="E2" s="268" t="s">
        <v>5</v>
      </c>
      <c r="F2" s="269"/>
      <c r="H2" s="8" t="str">
        <f>CONCATENATE("£",TEXT(Data!D8,"#,000")," invested at an assumed growth rate of ",Data!D12*100,"%")</f>
        <v>£100,000 invested at an assumed growth rate of 5.0379%</v>
      </c>
      <c r="I2" s="29" t="s">
        <v>67</v>
      </c>
      <c r="J2" s="29" t="s">
        <v>66</v>
      </c>
    </row>
    <row r="3" spans="1:16" ht="15" thickBot="1" x14ac:dyDescent="0.25">
      <c r="B3" s="265" t="s">
        <v>84</v>
      </c>
      <c r="C3" s="266"/>
      <c r="D3" s="266"/>
      <c r="E3" s="266"/>
      <c r="F3" s="267"/>
      <c r="H3" s="25" t="s">
        <v>69</v>
      </c>
      <c r="I3" s="26">
        <f>(Data!$D$11)*(1+(Data!$D$12))</f>
        <v>103987.52099999999</v>
      </c>
      <c r="J3" s="26">
        <f>(I3)*(1+Data!$D$12)^4</f>
        <v>126580.0744165503</v>
      </c>
    </row>
    <row r="4" spans="1:16" ht="15" thickBot="1" x14ac:dyDescent="0.25">
      <c r="B4" s="9" t="s">
        <v>126</v>
      </c>
      <c r="C4" s="10">
        <f>IF(Data!D9&lt;&gt;0, Data!D9, Data!$C$16)</f>
        <v>1000</v>
      </c>
      <c r="D4" s="16">
        <f>IF(Data!D16&lt;&gt;0, Data!D16, Data!$D$9/Data!D8)</f>
        <v>0.01</v>
      </c>
      <c r="E4" s="10" t="s">
        <v>22</v>
      </c>
      <c r="F4" s="11" t="s">
        <v>22</v>
      </c>
      <c r="H4" s="27" t="s">
        <v>68</v>
      </c>
      <c r="I4" s="28">
        <f>I54</f>
        <v>102083.92261525341</v>
      </c>
      <c r="J4" s="28">
        <f>M54</f>
        <v>115410.67199838757</v>
      </c>
      <c r="L4" s="2"/>
    </row>
    <row r="5" spans="1:16" ht="15.75" thickBot="1" x14ac:dyDescent="0.3">
      <c r="A5" t="s">
        <v>16</v>
      </c>
      <c r="B5" s="39" t="s">
        <v>127</v>
      </c>
      <c r="C5" s="13">
        <f>IF(Data!D10&lt;&gt;0, Data!D10, Data!$C$18)</f>
        <v>990</v>
      </c>
      <c r="D5" s="14">
        <f>IF(Data!D18&lt;&gt;0, Data!D18, Data!$D$10/Data!D8)</f>
        <v>0.01</v>
      </c>
      <c r="E5" s="13">
        <f>Data!$C$30</f>
        <v>990</v>
      </c>
      <c r="F5" s="14">
        <f>Data!$D$30</f>
        <v>0.01</v>
      </c>
      <c r="H5" s="68" t="s">
        <v>74</v>
      </c>
      <c r="I5" s="71">
        <f>I3-I4</f>
        <v>1903.5983847465832</v>
      </c>
      <c r="J5" s="71">
        <f>J3-J4</f>
        <v>11169.402418162732</v>
      </c>
      <c r="L5" s="15"/>
    </row>
    <row r="6" spans="1:16" ht="15.75" thickBot="1" x14ac:dyDescent="0.3">
      <c r="B6" s="265" t="s">
        <v>2</v>
      </c>
      <c r="C6" s="266"/>
      <c r="D6" s="266"/>
      <c r="E6" s="266"/>
      <c r="F6" s="267"/>
      <c r="H6" s="259" t="str">
        <f>CONCATENATE("After 5 years, the effect of total charges could amount to £",TEXT(J5,"#,000")," and this would have a similar effect as reducing the investment growth from ",TEXT(Data!D12*100,"#,0.00"),"% to ",TEXT(N56*100, "#,0.00"),"%.")</f>
        <v>After 5 years, the effect of total charges could amount to £11,169 and this would have a similar effect as reducing the investment growth from 5.04% to 2.91%.</v>
      </c>
      <c r="I6" s="260"/>
      <c r="J6" s="261"/>
      <c r="L6" s="6"/>
    </row>
    <row r="7" spans="1:16" ht="15.75" customHeight="1" thickBot="1" x14ac:dyDescent="0.3">
      <c r="B7" s="9" t="str">
        <f>CONCATENATE("Product Charges (",Data!B3,")")</f>
        <v>Product Charges ()</v>
      </c>
      <c r="C7" s="10">
        <f>Data!J13</f>
        <v>0</v>
      </c>
      <c r="D7" s="11">
        <f>Data!K13</f>
        <v>0</v>
      </c>
      <c r="E7" s="10">
        <f>Data!N13</f>
        <v>0</v>
      </c>
      <c r="F7" s="11">
        <f>Data!O13</f>
        <v>0</v>
      </c>
      <c r="H7" s="262"/>
      <c r="I7" s="263"/>
      <c r="J7" s="264"/>
      <c r="L7" s="6"/>
    </row>
    <row r="8" spans="1:16" ht="15.75" thickBot="1" x14ac:dyDescent="0.3">
      <c r="B8" s="12" t="str">
        <f>CONCATENATE("Product Charges (",Data!B4,")")</f>
        <v>Product Charges ()</v>
      </c>
      <c r="C8" s="13">
        <f>Data!J32</f>
        <v>0</v>
      </c>
      <c r="D8" s="14">
        <f>Data!K32</f>
        <v>0</v>
      </c>
      <c r="E8" s="13">
        <f>Data!N32</f>
        <v>0</v>
      </c>
      <c r="F8" s="14">
        <f>Data!O32</f>
        <v>0</v>
      </c>
      <c r="H8" s="38"/>
      <c r="I8" s="49"/>
      <c r="J8" s="49"/>
      <c r="L8" s="6"/>
    </row>
    <row r="9" spans="1:16" ht="15" thickBot="1" x14ac:dyDescent="0.25">
      <c r="B9" s="9" t="str">
        <f>CONCATENATE("Product Charges (",Data!B5,")")</f>
        <v>Product Charges ()</v>
      </c>
      <c r="C9" s="10">
        <f>Data!J51</f>
        <v>0</v>
      </c>
      <c r="D9" s="11">
        <f>Data!K51</f>
        <v>0</v>
      </c>
      <c r="E9" s="10">
        <f>Data!N51</f>
        <v>0</v>
      </c>
      <c r="F9" s="11">
        <f>Data!O51</f>
        <v>0</v>
      </c>
      <c r="H9" s="196" t="s">
        <v>89</v>
      </c>
      <c r="I9" s="198">
        <f>((1+Data!D12)^(1/365))-1</f>
        <v>1.3466948197748962E-4</v>
      </c>
      <c r="J9" s="221"/>
      <c r="K9" s="223"/>
      <c r="O9" s="2"/>
    </row>
    <row r="10" spans="1:16" ht="15" thickBot="1" x14ac:dyDescent="0.25">
      <c r="B10" s="12" t="str">
        <f>CONCATENATE("Product Charges (",Data!B6,")")</f>
        <v>Product Charges ()</v>
      </c>
      <c r="C10" s="13">
        <f>Data!J70</f>
        <v>0</v>
      </c>
      <c r="D10" s="14">
        <f>Data!K70</f>
        <v>0</v>
      </c>
      <c r="E10" s="13">
        <f>Data!N70</f>
        <v>0</v>
      </c>
      <c r="F10" s="14">
        <f>Data!O70</f>
        <v>0</v>
      </c>
      <c r="H10" s="197" t="s">
        <v>90</v>
      </c>
      <c r="I10" s="195">
        <f>((1+(D16+D17))^(1/365))-1</f>
        <v>2.3189524796407568E-5</v>
      </c>
      <c r="J10" s="221"/>
    </row>
    <row r="11" spans="1:16" ht="15" thickBot="1" x14ac:dyDescent="0.25">
      <c r="B11" s="9" t="str">
        <f>CONCATENATE("Product Charges (",Data!B7,")")</f>
        <v>Product Charges ()</v>
      </c>
      <c r="C11" s="10">
        <f>Data!J89</f>
        <v>0</v>
      </c>
      <c r="D11" s="11">
        <f>Data!K89</f>
        <v>0</v>
      </c>
      <c r="E11" s="10">
        <f>Data!N89</f>
        <v>0</v>
      </c>
      <c r="F11" s="11">
        <f>Data!O89</f>
        <v>0</v>
      </c>
      <c r="H11" s="199" t="s">
        <v>91</v>
      </c>
      <c r="I11" s="201">
        <f>I9-I10</f>
        <v>1.1147995718108206E-4</v>
      </c>
      <c r="J11" s="222"/>
    </row>
    <row r="12" spans="1:16" ht="15" thickBot="1" x14ac:dyDescent="0.25">
      <c r="B12" s="17" t="s">
        <v>70</v>
      </c>
      <c r="C12" s="18">
        <f>Data!C19+Data!C17</f>
        <v>0</v>
      </c>
      <c r="D12" s="19">
        <f>Data!D19+Data!D17</f>
        <v>0</v>
      </c>
      <c r="E12" s="18">
        <f>Data!C31</f>
        <v>0</v>
      </c>
      <c r="F12" s="19">
        <f>Data!D31</f>
        <v>0</v>
      </c>
      <c r="H12" s="69"/>
      <c r="I12" s="200"/>
    </row>
    <row r="13" spans="1:16" ht="15" thickBot="1" x14ac:dyDescent="0.25">
      <c r="B13" s="265" t="s">
        <v>10</v>
      </c>
      <c r="C13" s="266"/>
      <c r="D13" s="266"/>
      <c r="E13" s="266"/>
      <c r="F13" s="267"/>
      <c r="H13" s="147" t="s">
        <v>111</v>
      </c>
      <c r="I13" s="194" t="s">
        <v>79</v>
      </c>
      <c r="J13" s="194" t="s">
        <v>108</v>
      </c>
      <c r="K13" s="194" t="s">
        <v>80</v>
      </c>
      <c r="L13" s="194" t="s">
        <v>81</v>
      </c>
      <c r="M13" s="194" t="s">
        <v>82</v>
      </c>
      <c r="N13" s="74"/>
    </row>
    <row r="14" spans="1:16" ht="15" thickBot="1" x14ac:dyDescent="0.25">
      <c r="B14" s="9" t="s">
        <v>17</v>
      </c>
      <c r="C14" s="10">
        <f>Data!C20</f>
        <v>0</v>
      </c>
      <c r="D14" s="11">
        <f>Data!D20</f>
        <v>0</v>
      </c>
      <c r="E14" s="10">
        <f>Data!C32</f>
        <v>0</v>
      </c>
      <c r="F14" s="11">
        <f>Data!D32</f>
        <v>0</v>
      </c>
      <c r="H14" s="135" t="s">
        <v>109</v>
      </c>
      <c r="I14" s="193">
        <f>Data!D11</f>
        <v>99000</v>
      </c>
      <c r="J14" s="205">
        <f>I54</f>
        <v>102083.92261525341</v>
      </c>
      <c r="K14" s="205">
        <f>J54</f>
        <v>105263.91168199037</v>
      </c>
      <c r="L14" s="205">
        <f>K54</f>
        <v>108542.95974063812</v>
      </c>
      <c r="M14" s="205">
        <f>L54</f>
        <v>111924.15255145321</v>
      </c>
      <c r="O14" s="74"/>
      <c r="P14" s="74"/>
    </row>
    <row r="15" spans="1:16" ht="15" customHeight="1" thickBot="1" x14ac:dyDescent="0.25">
      <c r="B15" s="12" t="s">
        <v>18</v>
      </c>
      <c r="C15" s="13">
        <f>Data!C21</f>
        <v>0</v>
      </c>
      <c r="D15" s="14">
        <f>Data!D21</f>
        <v>0</v>
      </c>
      <c r="E15" s="13">
        <f>Data!C33</f>
        <v>0</v>
      </c>
      <c r="F15" s="14">
        <f>Data!D33</f>
        <v>0</v>
      </c>
      <c r="H15" s="206" t="s">
        <v>112</v>
      </c>
      <c r="I15" s="208">
        <f>FV($I$11,31,0,-I14)</f>
        <v>99342.704718493187</v>
      </c>
      <c r="J15" s="212">
        <f>FV($I$11,31,0,-J14)</f>
        <v>102437.30283709726</v>
      </c>
      <c r="K15" s="208">
        <f t="shared" ref="K15:M15" si="0">FV($I$11,31,0,-K14)</f>
        <v>105628.2999569446</v>
      </c>
      <c r="L15" s="208">
        <f t="shared" si="0"/>
        <v>108918.69897763139</v>
      </c>
      <c r="M15" s="208">
        <f t="shared" si="0"/>
        <v>112311.59634127881</v>
      </c>
      <c r="O15" s="1"/>
      <c r="P15" s="73"/>
    </row>
    <row r="16" spans="1:16" ht="15" thickBot="1" x14ac:dyDescent="0.25">
      <c r="B16" s="9" t="s">
        <v>75</v>
      </c>
      <c r="C16" s="10">
        <f>Data!C22</f>
        <v>594</v>
      </c>
      <c r="D16" s="11">
        <f>Data!D22</f>
        <v>6.0000000000000001E-3</v>
      </c>
      <c r="E16" s="10">
        <f>Data!C34</f>
        <v>594</v>
      </c>
      <c r="F16" s="11">
        <f>Data!D34</f>
        <v>6.0000000000000001E-3</v>
      </c>
      <c r="H16" s="206" t="s">
        <v>97</v>
      </c>
      <c r="I16" s="83">
        <f>SUM(I15*(Data!D19+Data!D20+Data!D21))/12</f>
        <v>0</v>
      </c>
      <c r="J16" s="202">
        <f>SUM(J15*(Data!$D$31+Data!$D$32+Data!$D$33))/12</f>
        <v>0</v>
      </c>
      <c r="K16" s="202">
        <f>SUM(K15*(Data!$D$31+Data!$D$32+Data!$D$33))/12</f>
        <v>0</v>
      </c>
      <c r="L16" s="202">
        <f>SUM(L15*(Data!$D$31+Data!$D$32+Data!$D$33))/12</f>
        <v>0</v>
      </c>
      <c r="M16" s="202">
        <f>SUM(M15*(Data!$D$31+Data!$D$32+Data!$D$33))/12</f>
        <v>0</v>
      </c>
      <c r="O16" s="1"/>
      <c r="P16" s="73"/>
    </row>
    <row r="17" spans="2:16" ht="15" thickBot="1" x14ac:dyDescent="0.25">
      <c r="B17" s="12" t="s">
        <v>19</v>
      </c>
      <c r="C17" s="13">
        <f>Data!C23</f>
        <v>247.5</v>
      </c>
      <c r="D17" s="14">
        <f>Data!D23</f>
        <v>2.5000000000000001E-3</v>
      </c>
      <c r="E17" s="13">
        <f>Data!C35</f>
        <v>247.5</v>
      </c>
      <c r="F17" s="14">
        <f>Data!D35</f>
        <v>2.5000000000000001E-3</v>
      </c>
      <c r="H17" s="79" t="s">
        <v>110</v>
      </c>
      <c r="I17" s="209">
        <f>I15-I16</f>
        <v>99342.704718493187</v>
      </c>
      <c r="J17" s="211">
        <f>J15-J16</f>
        <v>102437.30283709726</v>
      </c>
      <c r="K17" s="211">
        <f t="shared" ref="K17:M17" si="1">K15-K16</f>
        <v>105628.2999569446</v>
      </c>
      <c r="L17" s="211">
        <f t="shared" si="1"/>
        <v>108918.69897763139</v>
      </c>
      <c r="M17" s="211">
        <f t="shared" si="1"/>
        <v>112311.59634127881</v>
      </c>
      <c r="O17" s="1"/>
      <c r="P17" s="73"/>
    </row>
    <row r="18" spans="2:16" ht="15" thickBot="1" x14ac:dyDescent="0.25">
      <c r="B18" s="23" t="s">
        <v>20</v>
      </c>
      <c r="C18" s="21">
        <f>Data!C24</f>
        <v>841.5</v>
      </c>
      <c r="D18" s="22">
        <f>Data!D24</f>
        <v>8.5000000000000006E-3</v>
      </c>
      <c r="E18" s="21">
        <f>Data!C36</f>
        <v>841.5</v>
      </c>
      <c r="F18" s="22">
        <f>Data!D36</f>
        <v>8.5000000000000006E-3</v>
      </c>
      <c r="H18" s="206" t="s">
        <v>112</v>
      </c>
      <c r="I18" s="208">
        <f>FV(I11,28,0,-I17)</f>
        <v>99653.26402514815</v>
      </c>
      <c r="J18" s="212">
        <f>FV($I$11,28,0,-J17)</f>
        <v>102757.53629394586</v>
      </c>
      <c r="K18" s="212">
        <f t="shared" ref="K18:M18" si="2">FV($I$11,28,0,-K17)</f>
        <v>105958.50892086125</v>
      </c>
      <c r="L18" s="212">
        <f t="shared" si="2"/>
        <v>109259.19419297815</v>
      </c>
      <c r="M18" s="212">
        <f t="shared" si="2"/>
        <v>112662.69823233258</v>
      </c>
      <c r="O18" s="1"/>
      <c r="P18" s="73"/>
    </row>
    <row r="19" spans="2:16" ht="15" thickBot="1" x14ac:dyDescent="0.25">
      <c r="B19" s="20" t="s">
        <v>25</v>
      </c>
      <c r="C19" s="47">
        <f>C4+C12+C18+C5</f>
        <v>2831.5</v>
      </c>
      <c r="D19" s="24">
        <f>D4+D12+D18+D5</f>
        <v>2.8500000000000004E-2</v>
      </c>
      <c r="E19" s="50">
        <f>Data!C37</f>
        <v>1831.5</v>
      </c>
      <c r="F19" s="24">
        <f>ROUND(Data!D37,4)</f>
        <v>1.8499999999999999E-2</v>
      </c>
      <c r="H19" s="78" t="s">
        <v>97</v>
      </c>
      <c r="I19" s="83">
        <f>SUM(I18*(Data!D19+Data!D20+Data!D21))/12</f>
        <v>0</v>
      </c>
      <c r="J19" s="202">
        <f>SUM(J18*(Data!$D$31+Data!$D$32+Data!$D$33))/12</f>
        <v>0</v>
      </c>
      <c r="K19" s="202">
        <f>SUM(K18*(Data!$D$31+Data!$D$32+Data!$D$33))/12</f>
        <v>0</v>
      </c>
      <c r="L19" s="202">
        <f>SUM(L18*(Data!$D$31+Data!$D$32+Data!$D$33))/12</f>
        <v>0</v>
      </c>
      <c r="M19" s="202">
        <f>SUM(M18*(Data!$D$31+Data!$D$32+Data!$D$33))/12</f>
        <v>0</v>
      </c>
      <c r="O19" s="1"/>
      <c r="P19" s="73"/>
    </row>
    <row r="20" spans="2:16" x14ac:dyDescent="0.2">
      <c r="H20" s="79" t="s">
        <v>98</v>
      </c>
      <c r="I20" s="209">
        <f>I18-I19</f>
        <v>99653.26402514815</v>
      </c>
      <c r="J20" s="211">
        <f>J18-J19</f>
        <v>102757.53629394586</v>
      </c>
      <c r="K20" s="211">
        <f t="shared" ref="K20:M20" si="3">K18-K19</f>
        <v>105958.50892086125</v>
      </c>
      <c r="L20" s="211">
        <f t="shared" si="3"/>
        <v>109259.19419297815</v>
      </c>
      <c r="M20" s="211">
        <f t="shared" si="3"/>
        <v>112662.69823233258</v>
      </c>
    </row>
    <row r="21" spans="2:16" x14ac:dyDescent="0.2">
      <c r="B21" s="219"/>
      <c r="C21" s="219"/>
      <c r="D21" s="219"/>
      <c r="E21" s="219"/>
      <c r="F21" s="219"/>
      <c r="H21" s="207" t="s">
        <v>112</v>
      </c>
      <c r="I21" s="210">
        <f>FV(I11,31,0,-I20)</f>
        <v>99998.230124084163</v>
      </c>
      <c r="J21" s="212">
        <f>FV($I$11,31,0,-J20)</f>
        <v>103113.24833989202</v>
      </c>
      <c r="K21" s="212">
        <f t="shared" ref="K21:M21" si="4">FV($I$11,31,0,-K20)</f>
        <v>106325.30165794893</v>
      </c>
      <c r="L21" s="212">
        <f t="shared" si="4"/>
        <v>109637.41279286398</v>
      </c>
      <c r="M21" s="212">
        <f t="shared" si="4"/>
        <v>113052.69861902343</v>
      </c>
    </row>
    <row r="22" spans="2:16" x14ac:dyDescent="0.2">
      <c r="B22" s="220" t="s">
        <v>114</v>
      </c>
      <c r="C22" s="219"/>
      <c r="D22" s="219"/>
      <c r="E22" s="219"/>
      <c r="F22" s="219"/>
      <c r="G22" s="72"/>
      <c r="H22" s="78" t="s">
        <v>97</v>
      </c>
      <c r="I22" s="78">
        <f>SUM(I21*(Data!D19+Data!D20+Data!D21))/12</f>
        <v>0</v>
      </c>
      <c r="J22" s="210">
        <f>SUM(J21*(Data!$D$31+Data!$D$32+Data!$D$33))/12</f>
        <v>0</v>
      </c>
      <c r="K22" s="210">
        <f>SUM(K21*(Data!$D$31+Data!$D$32+Data!$D$33))/12</f>
        <v>0</v>
      </c>
      <c r="L22" s="210">
        <f>SUM(L21*(Data!$D$31+Data!$D$32+Data!$D$33))/12</f>
        <v>0</v>
      </c>
      <c r="M22" s="210">
        <f>SUM(M21*(Data!$D$31+Data!$D$32+Data!$D$33))/12</f>
        <v>0</v>
      </c>
    </row>
    <row r="23" spans="2:16" x14ac:dyDescent="0.2">
      <c r="B23" s="217" t="s">
        <v>115</v>
      </c>
      <c r="C23" s="172"/>
      <c r="D23" s="172"/>
      <c r="E23" s="172"/>
      <c r="F23" s="172"/>
      <c r="G23" s="2"/>
      <c r="H23" s="78" t="s">
        <v>113</v>
      </c>
      <c r="I23" s="78">
        <f>SUM((I21-I22)*(Data!D18))/4</f>
        <v>249.9955753102104</v>
      </c>
      <c r="J23" s="78">
        <f>SUM((J21-J22)*(Data!D18))/4</f>
        <v>257.78312084973004</v>
      </c>
      <c r="K23" s="78">
        <f>SUM((K21-K22)*(Data!D18))/4</f>
        <v>265.81325414487236</v>
      </c>
      <c r="L23" s="78">
        <f>SUM((L21-L22)*(Data!D18))/4</f>
        <v>274.09353198215996</v>
      </c>
      <c r="M23" s="78">
        <f>SUM((M21-M22)*(Data!D18))/4</f>
        <v>282.63174654755858</v>
      </c>
    </row>
    <row r="24" spans="2:16" x14ac:dyDescent="0.2">
      <c r="B24" s="217"/>
      <c r="C24" s="172"/>
      <c r="D24" s="172"/>
      <c r="E24" s="172"/>
      <c r="F24" s="172"/>
      <c r="G24" s="2"/>
      <c r="H24" s="79" t="s">
        <v>99</v>
      </c>
      <c r="I24" s="211">
        <f>I21-I22-I23</f>
        <v>99748.234548773951</v>
      </c>
      <c r="J24" s="211">
        <f t="shared" ref="J24:M24" si="5">J21-J22-J23</f>
        <v>102855.46521904229</v>
      </c>
      <c r="K24" s="211">
        <f t="shared" si="5"/>
        <v>106059.48840380406</v>
      </c>
      <c r="L24" s="211">
        <f t="shared" si="5"/>
        <v>109363.31926088182</v>
      </c>
      <c r="M24" s="211">
        <f t="shared" si="5"/>
        <v>112770.06687247587</v>
      </c>
    </row>
    <row r="25" spans="2:16" x14ac:dyDescent="0.2">
      <c r="B25" s="217" t="s">
        <v>116</v>
      </c>
      <c r="C25" s="172"/>
      <c r="D25" s="172"/>
      <c r="E25" s="172"/>
      <c r="F25" s="172"/>
      <c r="G25" s="2"/>
      <c r="H25" s="206" t="s">
        <v>112</v>
      </c>
      <c r="I25" s="210">
        <f>FV(I11,30,0,-I24)</f>
        <v>100082.37222516564</v>
      </c>
      <c r="J25" s="212">
        <f>FV($I$11,30,0,-J24)</f>
        <v>103200.01152913936</v>
      </c>
      <c r="K25" s="212">
        <f>FV($I$11,30,0,-K24)</f>
        <v>106414.76758418103</v>
      </c>
      <c r="L25" s="212">
        <f>FV($I$11,30,0,-L24)</f>
        <v>109729.66564832034</v>
      </c>
      <c r="M25" s="212">
        <f>FV($I$11,30,0,-M24)</f>
        <v>113147.82521859356</v>
      </c>
    </row>
    <row r="26" spans="2:16" x14ac:dyDescent="0.2">
      <c r="B26" s="217" t="s">
        <v>117</v>
      </c>
      <c r="C26" s="172"/>
      <c r="D26" s="172"/>
      <c r="E26" s="172"/>
      <c r="F26" s="172"/>
      <c r="G26" s="2"/>
      <c r="H26" s="78" t="s">
        <v>97</v>
      </c>
      <c r="I26" s="78">
        <f>SUM(I25*(Data!D19+Data!D20+Data!D21))/12</f>
        <v>0</v>
      </c>
      <c r="J26" s="210">
        <f>SUM(J25*(Data!$D$31+Data!$D$32+Data!$D$33))/12</f>
        <v>0</v>
      </c>
      <c r="K26" s="210">
        <f>SUM(K25*(Data!$D$31+Data!$D$32+Data!$D$33))/12</f>
        <v>0</v>
      </c>
      <c r="L26" s="210">
        <f>SUM(L25*(Data!$D$31+Data!$D$32+Data!$D$33))/12</f>
        <v>0</v>
      </c>
      <c r="M26" s="210">
        <f>SUM(M25*(Data!$D$31+Data!$D$32+Data!$D$33))/12</f>
        <v>0</v>
      </c>
    </row>
    <row r="27" spans="2:16" x14ac:dyDescent="0.2">
      <c r="B27" s="217"/>
      <c r="C27" s="172"/>
      <c r="D27" s="172"/>
      <c r="E27" s="172"/>
      <c r="F27" s="172"/>
      <c r="G27" s="2"/>
      <c r="H27" s="79" t="s">
        <v>100</v>
      </c>
      <c r="I27" s="211">
        <f>I25-I26</f>
        <v>100082.37222516564</v>
      </c>
      <c r="J27" s="211">
        <f>J25-J26</f>
        <v>103200.01152913936</v>
      </c>
      <c r="K27" s="211">
        <f t="shared" ref="K27:M27" si="6">K25-K26</f>
        <v>106414.76758418103</v>
      </c>
      <c r="L27" s="211">
        <f t="shared" si="6"/>
        <v>109729.66564832034</v>
      </c>
      <c r="M27" s="211">
        <f t="shared" si="6"/>
        <v>113147.82521859356</v>
      </c>
    </row>
    <row r="28" spans="2:16" x14ac:dyDescent="0.2">
      <c r="B28" s="217" t="s">
        <v>118</v>
      </c>
      <c r="C28" s="172"/>
      <c r="D28" s="172"/>
      <c r="E28" s="172"/>
      <c r="F28" s="172"/>
      <c r="G28" s="2"/>
      <c r="H28" s="206" t="s">
        <v>112</v>
      </c>
      <c r="I28" s="210">
        <f>FV(I11,31,0,-I27)</f>
        <v>100428.82375243388</v>
      </c>
      <c r="J28" s="212">
        <f>FV($I$11,31,0,-J27)</f>
        <v>103557.25527559983</v>
      </c>
      <c r="K28" s="212">
        <f>FV($I$11,31,0,-K27)</f>
        <v>106783.13973537754</v>
      </c>
      <c r="L28" s="212">
        <f>FV($I$11,31,0,-L27)</f>
        <v>110109.51286222295</v>
      </c>
      <c r="M28" s="212">
        <f>FV($I$11,31,0,-M27)</f>
        <v>113539.50495182238</v>
      </c>
    </row>
    <row r="29" spans="2:16" x14ac:dyDescent="0.2">
      <c r="B29" s="217"/>
      <c r="C29" s="172"/>
      <c r="D29" s="172"/>
      <c r="E29" s="172"/>
      <c r="F29" s="172"/>
      <c r="G29" s="2"/>
      <c r="H29" s="78" t="s">
        <v>97</v>
      </c>
      <c r="I29" s="78">
        <f>SUM(I28*(Data!D19+Data!D20+Data!D21))/12</f>
        <v>0</v>
      </c>
      <c r="J29" s="210">
        <f>SUM(J28*(Data!$D$31+Data!$D$32+Data!$D$33))/12</f>
        <v>0</v>
      </c>
      <c r="K29" s="210">
        <f>SUM(K28*(Data!$D$31+Data!$D$32+Data!$D$33))/12</f>
        <v>0</v>
      </c>
      <c r="L29" s="210">
        <f>SUM(L28*(Data!$D$31+Data!$D$32+Data!$D$33))/12</f>
        <v>0</v>
      </c>
      <c r="M29" s="210">
        <f>SUM(M28*(Data!$D$31+Data!$D$32+Data!$D$33))/12</f>
        <v>0</v>
      </c>
    </row>
    <row r="30" spans="2:16" x14ac:dyDescent="0.2">
      <c r="B30" s="217" t="s">
        <v>119</v>
      </c>
      <c r="C30" s="172"/>
      <c r="D30" s="172"/>
      <c r="E30" s="172"/>
      <c r="F30" s="172"/>
      <c r="G30" s="2"/>
      <c r="H30" s="79" t="s">
        <v>101</v>
      </c>
      <c r="I30" s="211">
        <f>I28-I29</f>
        <v>100428.82375243388</v>
      </c>
      <c r="J30" s="211">
        <f>J28-J29</f>
        <v>103557.25527559983</v>
      </c>
      <c r="K30" s="211">
        <f t="shared" ref="K30:M30" si="7">K28-K29</f>
        <v>106783.13973537754</v>
      </c>
      <c r="L30" s="211">
        <f t="shared" si="7"/>
        <v>110109.51286222295</v>
      </c>
      <c r="M30" s="211">
        <f t="shared" si="7"/>
        <v>113539.50495182238</v>
      </c>
    </row>
    <row r="31" spans="2:16" x14ac:dyDescent="0.2">
      <c r="B31" s="217" t="s">
        <v>120</v>
      </c>
      <c r="C31" s="172"/>
      <c r="D31" s="172"/>
      <c r="E31" s="172"/>
      <c r="F31" s="172"/>
      <c r="G31" s="2"/>
      <c r="H31" s="206" t="s">
        <v>112</v>
      </c>
      <c r="I31" s="210">
        <f>FV(I11,30,0,-I30)</f>
        <v>100765.24127363802</v>
      </c>
      <c r="J31" s="212">
        <f>FV($I$11,30,0,-J30)</f>
        <v>103904.1524493475</v>
      </c>
      <c r="K31" s="212">
        <f>FV($I$11,30,0,-K30)</f>
        <v>107140.84301053216</v>
      </c>
      <c r="L31" s="212">
        <f>FV($I$11,30,0,-L30)</f>
        <v>110478.35885676948</v>
      </c>
      <c r="M31" s="212">
        <f>FV($I$11,30,0,-M30)</f>
        <v>113919.84076964293</v>
      </c>
    </row>
    <row r="32" spans="2:16" x14ac:dyDescent="0.2">
      <c r="B32" s="217"/>
      <c r="C32" s="172"/>
      <c r="D32" s="172"/>
      <c r="E32" s="172"/>
      <c r="F32" s="172"/>
      <c r="H32" s="78" t="s">
        <v>97</v>
      </c>
      <c r="I32" s="78">
        <f>SUM(I31*(Data!D19+Data!D20+Data!D21))/12</f>
        <v>0</v>
      </c>
      <c r="J32" s="210">
        <f>SUM(J31*(Data!$D$31+Data!$D$32+Data!$D$33))/12</f>
        <v>0</v>
      </c>
      <c r="K32" s="210">
        <f>SUM(K31*(Data!$D$31+Data!$D$32+Data!$D$33))/12</f>
        <v>0</v>
      </c>
      <c r="L32" s="210">
        <f>SUM(L31*(Data!$D$31+Data!$D$32+Data!$D$33))/12</f>
        <v>0</v>
      </c>
      <c r="M32" s="210">
        <f>SUM(M31*(Data!$D$31+Data!$D$32+Data!$D$33))/12</f>
        <v>0</v>
      </c>
    </row>
    <row r="33" spans="2:13" x14ac:dyDescent="0.2">
      <c r="B33" s="217" t="s">
        <v>121</v>
      </c>
      <c r="C33" s="172"/>
      <c r="D33" s="172"/>
      <c r="E33" s="172"/>
      <c r="F33" s="172"/>
      <c r="H33" s="78" t="s">
        <v>113</v>
      </c>
      <c r="I33" s="78">
        <f>SUM((I31-I32)*(Data!D18))/4</f>
        <v>251.91310318409506</v>
      </c>
      <c r="J33" s="78">
        <f>SUM((J31-J32)*(Data!D18))/4</f>
        <v>259.76038112336875</v>
      </c>
      <c r="K33" s="78">
        <f>SUM((K31-K32)*(Data!D18))/4</f>
        <v>267.85210752633043</v>
      </c>
      <c r="L33" s="78">
        <f>SUM((L31-L32)*(Data!D18))/4</f>
        <v>276.19589714192369</v>
      </c>
      <c r="M33" s="78">
        <f>SUM((M31-M32)*(Data!D18))/4</f>
        <v>284.79960192410732</v>
      </c>
    </row>
    <row r="34" spans="2:13" x14ac:dyDescent="0.2">
      <c r="B34" s="217" t="s">
        <v>122</v>
      </c>
      <c r="C34" s="172"/>
      <c r="D34" s="172"/>
      <c r="E34" s="172"/>
      <c r="F34" s="172"/>
      <c r="H34" s="79" t="s">
        <v>102</v>
      </c>
      <c r="I34" s="211">
        <f>I31-I32-I33</f>
        <v>100513.32817045393</v>
      </c>
      <c r="J34" s="211">
        <f t="shared" ref="J34:M34" si="8">J31-J32-J33</f>
        <v>103644.39206822413</v>
      </c>
      <c r="K34" s="211">
        <f t="shared" si="8"/>
        <v>106872.99090300583</v>
      </c>
      <c r="L34" s="211">
        <f t="shared" si="8"/>
        <v>110202.16295962756</v>
      </c>
      <c r="M34" s="211">
        <f t="shared" si="8"/>
        <v>113635.04116771882</v>
      </c>
    </row>
    <row r="35" spans="2:13" x14ac:dyDescent="0.2">
      <c r="B35" s="217"/>
      <c r="C35" s="172"/>
      <c r="D35" s="172"/>
      <c r="E35" s="172"/>
      <c r="F35" s="172"/>
      <c r="H35" s="206" t="s">
        <v>112</v>
      </c>
      <c r="I35" s="210">
        <f>FV(I11,31,0,-I34)</f>
        <v>100861.27152232734</v>
      </c>
      <c r="J35" s="212">
        <f>FV($I$11,31,0,-J34)</f>
        <v>104003.17411072047</v>
      </c>
      <c r="K35" s="212">
        <f>FV($I$11,31,0,-K34)</f>
        <v>107242.94926928804</v>
      </c>
      <c r="L35" s="212">
        <f>FV($I$11,31,0,-L34)</f>
        <v>110583.64580037926</v>
      </c>
      <c r="M35" s="212">
        <f>FV($I$11,31,0,-M34)</f>
        <v>114028.40747877282</v>
      </c>
    </row>
    <row r="36" spans="2:13" x14ac:dyDescent="0.2">
      <c r="B36" s="217" t="s">
        <v>123</v>
      </c>
      <c r="C36" s="172"/>
      <c r="D36" s="172"/>
      <c r="E36" s="172"/>
      <c r="F36" s="172"/>
      <c r="H36" s="78" t="s">
        <v>97</v>
      </c>
      <c r="I36" s="78">
        <f>SUM(I35*(Data!D19+Data!D20+Data!D21))/12</f>
        <v>0</v>
      </c>
      <c r="J36" s="210">
        <f>SUM(J35*(Data!$D$31+Data!$D$32+Data!$D$33))/12</f>
        <v>0</v>
      </c>
      <c r="K36" s="210">
        <f>SUM(K35*(Data!$D$31+Data!$D$32+Data!$D$33))/12</f>
        <v>0</v>
      </c>
      <c r="L36" s="210">
        <f>SUM(L35*(Data!$D$31+Data!$D$32+Data!$D$33))/12</f>
        <v>0</v>
      </c>
      <c r="M36" s="210">
        <f>SUM(M35*(Data!$D$31+Data!$D$32+Data!$D$33))/12</f>
        <v>0</v>
      </c>
    </row>
    <row r="37" spans="2:13" x14ac:dyDescent="0.2">
      <c r="B37" s="217"/>
      <c r="C37" s="172"/>
      <c r="D37" s="172"/>
      <c r="E37" s="172"/>
      <c r="F37" s="172"/>
      <c r="H37" s="79" t="s">
        <v>103</v>
      </c>
      <c r="I37" s="211">
        <f>I35-I36</f>
        <v>100861.27152232734</v>
      </c>
      <c r="J37" s="211">
        <f>J35-J36</f>
        <v>104003.17411072047</v>
      </c>
      <c r="K37" s="211">
        <f t="shared" ref="K37:M37" si="9">K35-K36</f>
        <v>107242.94926928804</v>
      </c>
      <c r="L37" s="211">
        <f t="shared" si="9"/>
        <v>110583.64580037926</v>
      </c>
      <c r="M37" s="211">
        <f t="shared" si="9"/>
        <v>114028.40747877282</v>
      </c>
    </row>
    <row r="38" spans="2:13" x14ac:dyDescent="0.2">
      <c r="B38" s="217" t="s">
        <v>124</v>
      </c>
      <c r="C38" s="172"/>
      <c r="D38" s="172"/>
      <c r="E38" s="172"/>
      <c r="F38" s="172"/>
      <c r="H38" s="207" t="s">
        <v>112</v>
      </c>
      <c r="I38" s="208">
        <f>FV(I11,31,0,-I37)</f>
        <v>101210.41933711445</v>
      </c>
      <c r="J38" s="212">
        <f>FV($I$11,31,0,-J37)</f>
        <v>104363.19813603372</v>
      </c>
      <c r="K38" s="212">
        <f>FV($I$11,31,0,-K37)</f>
        <v>107614.1883070629</v>
      </c>
      <c r="L38" s="212">
        <f>FV($I$11,31,0,-L37)</f>
        <v>110966.44920647996</v>
      </c>
      <c r="M38" s="212">
        <f>FV($I$11,31,0,-M37)</f>
        <v>114423.13549175503</v>
      </c>
    </row>
    <row r="39" spans="2:13" x14ac:dyDescent="0.2">
      <c r="B39" s="217"/>
      <c r="C39" s="172"/>
      <c r="D39" s="172"/>
      <c r="E39" s="172"/>
      <c r="F39" s="172"/>
      <c r="G39" s="2"/>
      <c r="H39" s="78" t="s">
        <v>97</v>
      </c>
      <c r="I39" s="83">
        <f>SUM(I38*(Data!D19+Data!D20+Data!D21))/12</f>
        <v>0</v>
      </c>
      <c r="J39" s="210">
        <f>SUM(J38*(Data!$D$31+Data!$D$32+Data!$D$33))/12</f>
        <v>0</v>
      </c>
      <c r="K39" s="210">
        <f>SUM(K38*(Data!$D$31+Data!$D$32+Data!$D$33))/12</f>
        <v>0</v>
      </c>
      <c r="L39" s="210">
        <f>SUM(L38*(Data!$D$31+Data!$D$32+Data!$D$33))/12</f>
        <v>0</v>
      </c>
      <c r="M39" s="210">
        <f>SUM(M38*(Data!$D$31+Data!$D$32+Data!$D$33))/12</f>
        <v>0</v>
      </c>
    </row>
    <row r="40" spans="2:13" x14ac:dyDescent="0.2">
      <c r="B40" s="217"/>
      <c r="C40" s="172"/>
      <c r="D40" s="172"/>
      <c r="E40" s="172"/>
      <c r="F40" s="172"/>
      <c r="G40" s="80"/>
      <c r="H40" s="79" t="s">
        <v>104</v>
      </c>
      <c r="I40" s="209">
        <f>I38-I39</f>
        <v>101210.41933711445</v>
      </c>
      <c r="J40" s="211">
        <f>J38-J39</f>
        <v>104363.19813603372</v>
      </c>
      <c r="K40" s="211">
        <f t="shared" ref="K40:M40" si="10">K38-K39</f>
        <v>107614.1883070629</v>
      </c>
      <c r="L40" s="211">
        <f t="shared" si="10"/>
        <v>110966.44920647996</v>
      </c>
      <c r="M40" s="211">
        <f t="shared" si="10"/>
        <v>114423.13549175503</v>
      </c>
    </row>
    <row r="41" spans="2:13" x14ac:dyDescent="0.2">
      <c r="B41" s="217"/>
      <c r="C41" s="172"/>
      <c r="D41" s="172"/>
      <c r="E41" s="172"/>
      <c r="F41" s="172"/>
      <c r="G41" s="81"/>
      <c r="H41" s="206" t="s">
        <v>112</v>
      </c>
      <c r="I41" s="210">
        <f>FV(I11,30,0,-I40)</f>
        <v>101549.45505535962</v>
      </c>
      <c r="J41" s="212">
        <f>FV($I$11,30,0,-J40)</f>
        <v>104712.79506558066</v>
      </c>
      <c r="K41" s="212">
        <f>FV($I$11,30,0,-K40)</f>
        <v>107974.67543739016</v>
      </c>
      <c r="L41" s="212">
        <f>FV($I$11,30,0,-L40)</f>
        <v>111338.16577532969</v>
      </c>
      <c r="M41" s="212">
        <f>FV($I$11,30,0,-M40)</f>
        <v>114806.43130437387</v>
      </c>
    </row>
    <row r="42" spans="2:13" x14ac:dyDescent="0.2">
      <c r="B42" s="217"/>
      <c r="C42" s="172"/>
      <c r="D42" s="172"/>
      <c r="E42" s="172"/>
      <c r="F42" s="172"/>
      <c r="G42" s="82"/>
      <c r="H42" s="78" t="s">
        <v>97</v>
      </c>
      <c r="I42" s="78">
        <f>SUM(I41*(Data!D19+Data!D20+Data!D21))/12</f>
        <v>0</v>
      </c>
      <c r="J42" s="210">
        <f>SUM(J41*(Data!$D$31+Data!$D$32+Data!$D$33))/12</f>
        <v>0</v>
      </c>
      <c r="K42" s="210">
        <f>SUM(K41*(Data!$D$31+Data!$D$32+Data!$D$33))/12</f>
        <v>0</v>
      </c>
      <c r="L42" s="210">
        <f>SUM(L41*(Data!$D$31+Data!$D$32+Data!$D$33))/12</f>
        <v>0</v>
      </c>
      <c r="M42" s="210">
        <f>SUM(M41*(Data!$D$31+Data!$D$32+Data!$D$33))/12</f>
        <v>0</v>
      </c>
    </row>
    <row r="43" spans="2:13" x14ac:dyDescent="0.2">
      <c r="B43" s="217"/>
      <c r="C43" s="172"/>
      <c r="D43" s="172"/>
      <c r="E43" s="172"/>
      <c r="F43" s="172"/>
      <c r="H43" s="78" t="s">
        <v>113</v>
      </c>
      <c r="I43" s="78">
        <f>SUM((I41-I42)*(Data!D18))/4</f>
        <v>253.87363763839906</v>
      </c>
      <c r="J43" s="78">
        <f>SUM((J41-J42)*(Data!D18))/4</f>
        <v>261.78198766395167</v>
      </c>
      <c r="K43" s="78">
        <f>SUM((K41-K42)*(Data!D18))/4</f>
        <v>269.93668859347542</v>
      </c>
      <c r="L43" s="78">
        <f>SUM((L41-L42)*(Data!D18))/4</f>
        <v>278.34541443832421</v>
      </c>
      <c r="M43" s="78">
        <f>SUM((M41-M42)*(Data!D18))/4</f>
        <v>287.01607826093465</v>
      </c>
    </row>
    <row r="44" spans="2:13" x14ac:dyDescent="0.2">
      <c r="B44" s="217"/>
      <c r="C44" s="172"/>
      <c r="D44" s="172"/>
      <c r="E44" s="172"/>
      <c r="F44" s="172"/>
      <c r="H44" s="79" t="s">
        <v>105</v>
      </c>
      <c r="I44" s="211">
        <f>I41-I42-I43</f>
        <v>101295.58141772122</v>
      </c>
      <c r="J44" s="211">
        <f t="shared" ref="J44:M44" si="11">J41-J42-J43</f>
        <v>104451.01307791671</v>
      </c>
      <c r="K44" s="211">
        <f t="shared" si="11"/>
        <v>107704.73874879669</v>
      </c>
      <c r="L44" s="211">
        <f t="shared" si="11"/>
        <v>111059.82036089136</v>
      </c>
      <c r="M44" s="211">
        <f t="shared" si="11"/>
        <v>114519.41522611293</v>
      </c>
    </row>
    <row r="45" spans="2:13" x14ac:dyDescent="0.2">
      <c r="B45" s="217"/>
      <c r="C45" s="172"/>
      <c r="D45" s="172"/>
      <c r="E45" s="172"/>
      <c r="F45" s="172"/>
      <c r="H45" s="206" t="s">
        <v>112</v>
      </c>
      <c r="I45" s="210">
        <f>FV(I11,31,0,-I44)</f>
        <v>101646.23266736126</v>
      </c>
      <c r="J45" s="212">
        <f>FV($I$11,31,0,-J44)</f>
        <v>104812.5873711813</v>
      </c>
      <c r="K45" s="212">
        <f>FV($I$11,31,0,-K44)</f>
        <v>108077.57634650667</v>
      </c>
      <c r="L45" s="212">
        <f>FV($I$11,31,0,-L44)</f>
        <v>111444.2721232417</v>
      </c>
      <c r="M45" s="212">
        <f>FV($I$11,31,0,-M44)</f>
        <v>114915.84294285101</v>
      </c>
    </row>
    <row r="46" spans="2:13" x14ac:dyDescent="0.2">
      <c r="B46" s="217"/>
      <c r="C46" s="172"/>
      <c r="D46" s="172"/>
      <c r="E46" s="172"/>
      <c r="F46" s="172"/>
      <c r="H46" s="78" t="s">
        <v>97</v>
      </c>
      <c r="I46" s="78">
        <f>SUM(I45*(Data!D19+Data!D20+Data!D21))/12</f>
        <v>0</v>
      </c>
      <c r="J46" s="210">
        <f>SUM(J45*(Data!$D$31+Data!$D$32+Data!$D$33))/12</f>
        <v>0</v>
      </c>
      <c r="K46" s="210">
        <f>SUM(K45*(Data!$D$31+Data!$D$32+Data!$D$33))/12</f>
        <v>0</v>
      </c>
      <c r="L46" s="210">
        <f>SUM(L45*(Data!$D$31+Data!$D$32+Data!$D$33))/12</f>
        <v>0</v>
      </c>
      <c r="M46" s="210">
        <f>SUM(M45*(Data!$D$31+Data!$D$32+Data!$D$33))/12</f>
        <v>0</v>
      </c>
    </row>
    <row r="47" spans="2:13" x14ac:dyDescent="0.2">
      <c r="B47" s="217"/>
      <c r="C47" s="172"/>
      <c r="D47" s="172"/>
      <c r="E47" s="172"/>
      <c r="F47" s="172"/>
      <c r="H47" s="79" t="s">
        <v>106</v>
      </c>
      <c r="I47" s="211">
        <f>I45-I46</f>
        <v>101646.23266736126</v>
      </c>
      <c r="J47" s="211">
        <f>J45-J46</f>
        <v>104812.5873711813</v>
      </c>
      <c r="K47" s="211">
        <f t="shared" ref="K47:M47" si="12">K45-K46</f>
        <v>108077.57634650667</v>
      </c>
      <c r="L47" s="211">
        <f t="shared" si="12"/>
        <v>111444.2721232417</v>
      </c>
      <c r="M47" s="211">
        <f t="shared" si="12"/>
        <v>114915.84294285101</v>
      </c>
    </row>
    <row r="48" spans="2:13" x14ac:dyDescent="0.2">
      <c r="B48" s="217"/>
      <c r="C48" s="172"/>
      <c r="D48" s="172"/>
      <c r="E48" s="172"/>
      <c r="F48" s="172"/>
      <c r="H48" s="206" t="s">
        <v>112</v>
      </c>
      <c r="I48" s="210">
        <f>FV(I11,30,0,-I47)</f>
        <v>101986.72827764531</v>
      </c>
      <c r="J48" s="212">
        <f>FV($I$11,30,0,-J47)</f>
        <v>105163.68966947494</v>
      </c>
      <c r="K48" s="212">
        <f>FV($I$11,30,0,-K47)</f>
        <v>108439.61573892126</v>
      </c>
      <c r="L48" s="212">
        <f>FV($I$11,30,0,-L47)</f>
        <v>111817.58930828134</v>
      </c>
      <c r="M48" s="212">
        <f>FV($I$11,30,0,-M47)</f>
        <v>115300.7892320281</v>
      </c>
    </row>
    <row r="49" spans="2:14" x14ac:dyDescent="0.2">
      <c r="B49" s="217"/>
      <c r="C49" s="172"/>
      <c r="D49" s="172"/>
      <c r="E49" s="172"/>
      <c r="F49" s="172"/>
      <c r="H49" s="78" t="s">
        <v>97</v>
      </c>
      <c r="I49" s="78">
        <f>SUM(I48*(Data!D19+Data!D20+Data!D21))/12</f>
        <v>0</v>
      </c>
      <c r="J49" s="210">
        <f>SUM(J48*(Data!$D$31+Data!$D$32+Data!$D$33))/12</f>
        <v>0</v>
      </c>
      <c r="K49" s="210">
        <f>SUM(K48*(Data!$D$31+Data!$D$32+Data!$D$33))/12</f>
        <v>0</v>
      </c>
      <c r="L49" s="210">
        <f>SUM(L48*(Data!$D$31+Data!$D$32+Data!$D$33))/12</f>
        <v>0</v>
      </c>
      <c r="M49" s="210">
        <f>SUM(M48*(Data!$D$31+Data!$D$32+Data!$D$33))/12</f>
        <v>0</v>
      </c>
    </row>
    <row r="50" spans="2:14" x14ac:dyDescent="0.2">
      <c r="B50" s="217"/>
      <c r="C50" s="172"/>
      <c r="D50" s="172"/>
      <c r="E50" s="172"/>
      <c r="F50" s="172"/>
      <c r="H50" s="79" t="s">
        <v>107</v>
      </c>
      <c r="I50" s="211">
        <f>I48-I49</f>
        <v>101986.72827764531</v>
      </c>
      <c r="J50" s="211">
        <f>J48-J49</f>
        <v>105163.68966947494</v>
      </c>
      <c r="K50" s="211">
        <f t="shared" ref="K50:M50" si="13">K48-K49</f>
        <v>108439.61573892126</v>
      </c>
      <c r="L50" s="211">
        <f t="shared" si="13"/>
        <v>111817.58930828134</v>
      </c>
      <c r="M50" s="211">
        <f t="shared" si="13"/>
        <v>115300.7892320281</v>
      </c>
    </row>
    <row r="51" spans="2:14" x14ac:dyDescent="0.2">
      <c r="B51" s="217"/>
      <c r="C51" s="172"/>
      <c r="D51" s="172"/>
      <c r="E51" s="172"/>
      <c r="F51" s="172"/>
      <c r="H51" s="206" t="s">
        <v>112</v>
      </c>
      <c r="I51" s="210">
        <f>FV(I11,31,0,-I50)</f>
        <v>102339.77204536683</v>
      </c>
      <c r="J51" s="212">
        <f>FV($I$11,31,0,-J50)</f>
        <v>105527.73100951416</v>
      </c>
      <c r="K51" s="212">
        <f t="shared" ref="K51:M51" si="14">FV($I$11,31,0,-K50)</f>
        <v>108814.99723372243</v>
      </c>
      <c r="L51" s="212">
        <f t="shared" si="14"/>
        <v>112204.66421198317</v>
      </c>
      <c r="M51" s="212">
        <f t="shared" si="14"/>
        <v>115699.92180289481</v>
      </c>
    </row>
    <row r="52" spans="2:14" x14ac:dyDescent="0.2">
      <c r="B52" s="217"/>
      <c r="C52" s="172"/>
      <c r="D52" s="172"/>
      <c r="E52" s="172"/>
      <c r="F52" s="172"/>
      <c r="H52" s="78" t="s">
        <v>97</v>
      </c>
      <c r="I52" s="78">
        <f>SUM(I51*(Data!D19+Data!D20+Data!D21))/12</f>
        <v>0</v>
      </c>
      <c r="J52" s="210">
        <f>SUM(J51*(Data!$D$31+Data!$D$32+Data!$D$33))/12</f>
        <v>0</v>
      </c>
      <c r="K52" s="210">
        <f>SUM(K51*(Data!$D$31+Data!$D$32+Data!$D$33))/12</f>
        <v>0</v>
      </c>
      <c r="L52" s="210">
        <f>SUM(L51*(Data!$D$31+Data!$D$32+Data!$D$33))/12</f>
        <v>0</v>
      </c>
      <c r="M52" s="210">
        <f>SUM(M51*(Data!$D$31+Data!$D$32+Data!$D$33))/12</f>
        <v>0</v>
      </c>
    </row>
    <row r="53" spans="2:14" x14ac:dyDescent="0.2">
      <c r="B53" s="217"/>
      <c r="C53" s="172"/>
      <c r="D53" s="172"/>
      <c r="E53" s="172"/>
      <c r="F53" s="172"/>
      <c r="H53" s="79" t="s">
        <v>113</v>
      </c>
      <c r="I53" s="79">
        <f>SUM((I51-I52)*(Data!D18))/4</f>
        <v>255.84943011341707</v>
      </c>
      <c r="J53" s="78">
        <f>SUM((J51-J52)*(Data!D18))/4</f>
        <v>263.81932752378538</v>
      </c>
      <c r="K53" s="78">
        <f>SUM((K51-K52)*(Data!D18))/4</f>
        <v>272.03749308430611</v>
      </c>
      <c r="L53" s="78">
        <f>SUM((L51-L52)*(Data!D18))/4</f>
        <v>280.51166052995791</v>
      </c>
      <c r="M53" s="78">
        <f>SUM((M51-M52)*(Data!D18))/4</f>
        <v>289.249804507237</v>
      </c>
    </row>
    <row r="54" spans="2:14" x14ac:dyDescent="0.2">
      <c r="B54" s="217"/>
      <c r="C54" s="172"/>
      <c r="D54" s="172"/>
      <c r="E54" s="172"/>
      <c r="F54" s="172"/>
      <c r="H54" s="204" t="s">
        <v>85</v>
      </c>
      <c r="I54" s="203">
        <f>I51-I52-I53</f>
        <v>102083.92261525341</v>
      </c>
      <c r="J54" s="213">
        <f t="shared" ref="J54:M54" si="15">J51-J52-J53</f>
        <v>105263.91168199037</v>
      </c>
      <c r="K54" s="213">
        <f t="shared" si="15"/>
        <v>108542.95974063812</v>
      </c>
      <c r="L54" s="213">
        <f t="shared" si="15"/>
        <v>111924.15255145321</v>
      </c>
      <c r="M54" s="213">
        <f t="shared" si="15"/>
        <v>115410.67199838757</v>
      </c>
    </row>
    <row r="55" spans="2:14" x14ac:dyDescent="0.2">
      <c r="B55" s="217"/>
      <c r="C55" s="172"/>
      <c r="D55" s="172"/>
      <c r="E55" s="172"/>
      <c r="F55" s="172"/>
      <c r="H55" s="75" t="s">
        <v>83</v>
      </c>
      <c r="I55" s="205">
        <f>I54-Data!D8</f>
        <v>2083.9226152534102</v>
      </c>
      <c r="J55" s="205">
        <f>J54-J14</f>
        <v>3179.9890667369618</v>
      </c>
      <c r="K55" s="205">
        <f t="shared" ref="K55:M55" si="16">K54-K14</f>
        <v>3279.0480586477497</v>
      </c>
      <c r="L55" s="205">
        <f t="shared" si="16"/>
        <v>3381.1928108150896</v>
      </c>
      <c r="M55" s="205">
        <f t="shared" si="16"/>
        <v>3486.5194469343551</v>
      </c>
    </row>
    <row r="56" spans="2:14" x14ac:dyDescent="0.2">
      <c r="B56" s="217"/>
      <c r="C56" s="172"/>
      <c r="D56" s="172"/>
      <c r="E56" s="172"/>
      <c r="F56" s="172"/>
      <c r="H56" s="76" t="s">
        <v>77</v>
      </c>
      <c r="I56" s="137">
        <f>I55/Data!D8</f>
        <v>2.0839226152534102E-2</v>
      </c>
      <c r="J56" s="137">
        <f>J55/J14</f>
        <v>3.1150733487408201E-2</v>
      </c>
      <c r="K56" s="137">
        <f t="shared" ref="K56:M56" si="17">K55/K14</f>
        <v>3.1150733487408135E-2</v>
      </c>
      <c r="L56" s="137">
        <f t="shared" si="17"/>
        <v>3.1150733487408142E-2</v>
      </c>
      <c r="M56" s="137">
        <f t="shared" si="17"/>
        <v>3.1150733487408357E-2</v>
      </c>
      <c r="N56" s="70">
        <f>SUM(I56:M56)/5</f>
        <v>2.9088432020433385E-2</v>
      </c>
    </row>
    <row r="57" spans="2:14" x14ac:dyDescent="0.2">
      <c r="B57" s="217"/>
      <c r="C57" s="172"/>
      <c r="D57" s="172"/>
      <c r="E57" s="172"/>
      <c r="F57" s="172"/>
      <c r="H57" s="76" t="s">
        <v>78</v>
      </c>
      <c r="I57" s="137">
        <f>Data!$D$12-I56</f>
        <v>2.9539773847465898E-2</v>
      </c>
      <c r="J57" s="137">
        <f>Data!$D$12-J56</f>
        <v>1.92282665125918E-2</v>
      </c>
      <c r="K57" s="137">
        <f>Data!$D$12-K56</f>
        <v>1.9228266512591866E-2</v>
      </c>
      <c r="L57" s="137">
        <f>Data!$D$12-L56</f>
        <v>1.9228266512591859E-2</v>
      </c>
      <c r="M57" s="137">
        <f>Data!$D$12-M56</f>
        <v>1.9228266512591644E-2</v>
      </c>
      <c r="N57" s="70">
        <f>SUM(I57:M57)/5</f>
        <v>2.1290567979566612E-2</v>
      </c>
    </row>
    <row r="58" spans="2:14" x14ac:dyDescent="0.2">
      <c r="B58" s="217"/>
      <c r="C58" s="172"/>
      <c r="D58" s="172"/>
      <c r="E58" s="172"/>
      <c r="F58" s="172"/>
      <c r="J58" s="86"/>
      <c r="K58" s="86"/>
    </row>
    <row r="59" spans="2:14" x14ac:dyDescent="0.2">
      <c r="B59" s="218"/>
      <c r="C59" s="155"/>
      <c r="D59" s="155"/>
      <c r="E59" s="155"/>
      <c r="F59" s="155"/>
      <c r="K59" s="86"/>
    </row>
    <row r="60" spans="2:14" x14ac:dyDescent="0.2">
      <c r="B60" s="218"/>
      <c r="C60" s="175"/>
      <c r="D60" s="175"/>
      <c r="E60" s="175"/>
      <c r="F60" s="175"/>
      <c r="J60" s="192"/>
      <c r="K60" s="86"/>
    </row>
    <row r="61" spans="2:14" x14ac:dyDescent="0.2">
      <c r="B61" s="214"/>
      <c r="C61" s="215"/>
      <c r="D61" s="215"/>
      <c r="E61" s="215"/>
      <c r="F61" s="215"/>
      <c r="J61" s="86"/>
    </row>
    <row r="62" spans="2:14" x14ac:dyDescent="0.2">
      <c r="B62" s="214"/>
      <c r="C62" s="216"/>
      <c r="D62" s="216"/>
      <c r="E62" s="216"/>
      <c r="F62" s="216"/>
      <c r="G62" s="154"/>
      <c r="J62" s="86"/>
    </row>
    <row r="63" spans="2:14" x14ac:dyDescent="0.2">
      <c r="B63" s="51"/>
      <c r="C63" s="48"/>
      <c r="D63" s="48"/>
      <c r="E63" s="1"/>
      <c r="G63" s="154"/>
    </row>
    <row r="64" spans="2:14" x14ac:dyDescent="0.2">
      <c r="G64" s="2"/>
      <c r="J64" s="192"/>
    </row>
    <row r="65" spans="10:10" x14ac:dyDescent="0.2">
      <c r="J65" s="86"/>
    </row>
    <row r="66" spans="10:10" x14ac:dyDescent="0.2">
      <c r="J66" s="86"/>
    </row>
    <row r="67" spans="10:10" x14ac:dyDescent="0.2">
      <c r="J67" s="86"/>
    </row>
    <row r="68" spans="10:10" x14ac:dyDescent="0.2">
      <c r="J68" s="86"/>
    </row>
    <row r="69" spans="10:10" x14ac:dyDescent="0.2">
      <c r="J69" s="77"/>
    </row>
    <row r="70" spans="10:10" x14ac:dyDescent="0.2">
      <c r="J70" s="77"/>
    </row>
  </sheetData>
  <mergeCells count="6">
    <mergeCell ref="H6:J7"/>
    <mergeCell ref="B13:F13"/>
    <mergeCell ref="C2:D2"/>
    <mergeCell ref="B3:F3"/>
    <mergeCell ref="E2:F2"/>
    <mergeCell ref="B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K31" sqref="K31"/>
    </sheetView>
  </sheetViews>
  <sheetFormatPr defaultRowHeight="14.25" x14ac:dyDescent="0.2"/>
  <cols>
    <col min="1" max="1" width="69.5" bestFit="1" customWidth="1"/>
    <col min="2" max="2" width="12.5" customWidth="1"/>
    <col min="3" max="3" width="10.25" customWidth="1"/>
    <col min="4" max="4" width="11.125" customWidth="1"/>
    <col min="6" max="6" width="11" bestFit="1" customWidth="1"/>
  </cols>
  <sheetData>
    <row r="2" spans="1:6" ht="15" x14ac:dyDescent="0.2">
      <c r="A2" s="46" t="s">
        <v>13</v>
      </c>
      <c r="B2" s="44"/>
      <c r="C2" s="44"/>
    </row>
    <row r="3" spans="1:6" ht="15.75" thickBot="1" x14ac:dyDescent="0.25">
      <c r="A3" s="45"/>
      <c r="B3" s="45"/>
      <c r="C3" s="45"/>
    </row>
    <row r="4" spans="1:6" ht="15.75" thickBot="1" x14ac:dyDescent="0.3">
      <c r="A4" s="42" t="s">
        <v>21</v>
      </c>
      <c r="B4" s="43"/>
      <c r="C4" s="43"/>
      <c r="D4" s="52"/>
      <c r="E4" s="270" t="s">
        <v>73</v>
      </c>
      <c r="F4" s="271"/>
    </row>
    <row r="5" spans="1:6" ht="15.75" thickBot="1" x14ac:dyDescent="0.3">
      <c r="A5" s="4" t="s">
        <v>6</v>
      </c>
      <c r="B5" s="30" t="s">
        <v>9</v>
      </c>
      <c r="C5" s="30" t="s">
        <v>7</v>
      </c>
      <c r="D5" s="53" t="s">
        <v>8</v>
      </c>
      <c r="E5" s="60" t="s">
        <v>71</v>
      </c>
      <c r="F5" s="61" t="s">
        <v>72</v>
      </c>
    </row>
    <row r="6" spans="1:6" ht="15" x14ac:dyDescent="0.25">
      <c r="A6" s="40" t="s">
        <v>23</v>
      </c>
      <c r="B6" s="31">
        <v>15000</v>
      </c>
      <c r="C6" s="33">
        <v>8.8000000000000005E-3</v>
      </c>
      <c r="D6" s="54">
        <v>1E-3</v>
      </c>
      <c r="E6" s="59">
        <f>B6*C6</f>
        <v>132</v>
      </c>
      <c r="F6" s="62">
        <f>B6*D6</f>
        <v>15</v>
      </c>
    </row>
    <row r="7" spans="1:6" ht="15" x14ac:dyDescent="0.25">
      <c r="A7" s="41" t="s">
        <v>24</v>
      </c>
      <c r="B7" s="31">
        <v>20000</v>
      </c>
      <c r="C7" s="3">
        <v>7.4000000000000003E-3</v>
      </c>
      <c r="D7" s="55">
        <v>2.0999999999999999E-3</v>
      </c>
      <c r="E7" s="58">
        <f t="shared" ref="E7:E26" si="0">B7*C7</f>
        <v>148</v>
      </c>
      <c r="F7" s="63">
        <f t="shared" ref="F7:F26" si="1">B7*D7</f>
        <v>42</v>
      </c>
    </row>
    <row r="8" spans="1:6" ht="15" x14ac:dyDescent="0.25">
      <c r="A8" s="5"/>
      <c r="B8" s="31"/>
      <c r="C8" s="3"/>
      <c r="D8" s="55"/>
      <c r="E8" s="58">
        <f t="shared" si="0"/>
        <v>0</v>
      </c>
      <c r="F8" s="63">
        <f t="shared" si="1"/>
        <v>0</v>
      </c>
    </row>
    <row r="9" spans="1:6" ht="15" x14ac:dyDescent="0.25">
      <c r="A9" s="5"/>
      <c r="B9" s="31"/>
      <c r="C9" s="3"/>
      <c r="D9" s="55"/>
      <c r="E9" s="58">
        <f t="shared" si="0"/>
        <v>0</v>
      </c>
      <c r="F9" s="63">
        <f t="shared" si="1"/>
        <v>0</v>
      </c>
    </row>
    <row r="10" spans="1:6" ht="15" x14ac:dyDescent="0.25">
      <c r="A10" s="5"/>
      <c r="B10" s="31"/>
      <c r="C10" s="3"/>
      <c r="D10" s="55"/>
      <c r="E10" s="58">
        <f t="shared" si="0"/>
        <v>0</v>
      </c>
      <c r="F10" s="63">
        <f t="shared" si="1"/>
        <v>0</v>
      </c>
    </row>
    <row r="11" spans="1:6" ht="15" x14ac:dyDescent="0.25">
      <c r="A11" s="5"/>
      <c r="B11" s="31"/>
      <c r="C11" s="3"/>
      <c r="D11" s="55"/>
      <c r="E11" s="58">
        <f t="shared" si="0"/>
        <v>0</v>
      </c>
      <c r="F11" s="63">
        <f t="shared" si="1"/>
        <v>0</v>
      </c>
    </row>
    <row r="12" spans="1:6" ht="15" x14ac:dyDescent="0.25">
      <c r="A12" s="5"/>
      <c r="B12" s="31"/>
      <c r="C12" s="3"/>
      <c r="D12" s="55"/>
      <c r="E12" s="58">
        <f t="shared" si="0"/>
        <v>0</v>
      </c>
      <c r="F12" s="63">
        <f t="shared" si="1"/>
        <v>0</v>
      </c>
    </row>
    <row r="13" spans="1:6" ht="15" x14ac:dyDescent="0.25">
      <c r="A13" s="5"/>
      <c r="B13" s="31"/>
      <c r="C13" s="3"/>
      <c r="D13" s="55"/>
      <c r="E13" s="58">
        <f t="shared" si="0"/>
        <v>0</v>
      </c>
      <c r="F13" s="63">
        <f t="shared" si="1"/>
        <v>0</v>
      </c>
    </row>
    <row r="14" spans="1:6" ht="15" x14ac:dyDescent="0.25">
      <c r="A14" s="5"/>
      <c r="B14" s="31"/>
      <c r="C14" s="3"/>
      <c r="D14" s="55"/>
      <c r="E14" s="58">
        <f t="shared" si="0"/>
        <v>0</v>
      </c>
      <c r="F14" s="63">
        <f t="shared" si="1"/>
        <v>0</v>
      </c>
    </row>
    <row r="15" spans="1:6" ht="15" x14ac:dyDescent="0.25">
      <c r="A15" s="5"/>
      <c r="B15" s="31"/>
      <c r="C15" s="3"/>
      <c r="D15" s="55"/>
      <c r="E15" s="58">
        <f t="shared" si="0"/>
        <v>0</v>
      </c>
      <c r="F15" s="63">
        <f t="shared" si="1"/>
        <v>0</v>
      </c>
    </row>
    <row r="16" spans="1:6" ht="15" x14ac:dyDescent="0.25">
      <c r="A16" s="5"/>
      <c r="B16" s="31"/>
      <c r="C16" s="3"/>
      <c r="D16" s="55"/>
      <c r="E16" s="58">
        <f t="shared" si="0"/>
        <v>0</v>
      </c>
      <c r="F16" s="63">
        <f t="shared" si="1"/>
        <v>0</v>
      </c>
    </row>
    <row r="17" spans="1:6" ht="15" x14ac:dyDescent="0.25">
      <c r="A17" s="5"/>
      <c r="B17" s="31"/>
      <c r="C17" s="3"/>
      <c r="D17" s="55"/>
      <c r="E17" s="58">
        <f t="shared" si="0"/>
        <v>0</v>
      </c>
      <c r="F17" s="63">
        <f t="shared" si="1"/>
        <v>0</v>
      </c>
    </row>
    <row r="18" spans="1:6" ht="15" x14ac:dyDescent="0.25">
      <c r="A18" s="5"/>
      <c r="B18" s="31"/>
      <c r="C18" s="3"/>
      <c r="D18" s="55"/>
      <c r="E18" s="58">
        <f t="shared" si="0"/>
        <v>0</v>
      </c>
      <c r="F18" s="63">
        <f t="shared" si="1"/>
        <v>0</v>
      </c>
    </row>
    <row r="19" spans="1:6" ht="15" x14ac:dyDescent="0.25">
      <c r="A19" s="5"/>
      <c r="B19" s="31"/>
      <c r="C19" s="3"/>
      <c r="D19" s="55"/>
      <c r="E19" s="58">
        <f t="shared" si="0"/>
        <v>0</v>
      </c>
      <c r="F19" s="63">
        <f t="shared" si="1"/>
        <v>0</v>
      </c>
    </row>
    <row r="20" spans="1:6" ht="15" x14ac:dyDescent="0.25">
      <c r="A20" s="5"/>
      <c r="B20" s="31"/>
      <c r="C20" s="3"/>
      <c r="D20" s="55"/>
      <c r="E20" s="58">
        <f t="shared" si="0"/>
        <v>0</v>
      </c>
      <c r="F20" s="63">
        <f t="shared" si="1"/>
        <v>0</v>
      </c>
    </row>
    <row r="21" spans="1:6" ht="15" x14ac:dyDescent="0.25">
      <c r="A21" s="5"/>
      <c r="B21" s="31"/>
      <c r="C21" s="3"/>
      <c r="D21" s="55"/>
      <c r="E21" s="58">
        <f t="shared" si="0"/>
        <v>0</v>
      </c>
      <c r="F21" s="63">
        <f t="shared" si="1"/>
        <v>0</v>
      </c>
    </row>
    <row r="22" spans="1:6" ht="15" x14ac:dyDescent="0.25">
      <c r="A22" s="5"/>
      <c r="B22" s="31"/>
      <c r="C22" s="3"/>
      <c r="D22" s="55"/>
      <c r="E22" s="58">
        <f t="shared" si="0"/>
        <v>0</v>
      </c>
      <c r="F22" s="63">
        <f t="shared" si="1"/>
        <v>0</v>
      </c>
    </row>
    <row r="23" spans="1:6" ht="15" x14ac:dyDescent="0.25">
      <c r="A23" s="5"/>
      <c r="B23" s="31"/>
      <c r="C23" s="3"/>
      <c r="D23" s="55"/>
      <c r="E23" s="58">
        <f t="shared" si="0"/>
        <v>0</v>
      </c>
      <c r="F23" s="63">
        <f t="shared" si="1"/>
        <v>0</v>
      </c>
    </row>
    <row r="24" spans="1:6" ht="15" x14ac:dyDescent="0.25">
      <c r="A24" s="5"/>
      <c r="B24" s="31"/>
      <c r="C24" s="3"/>
      <c r="D24" s="55"/>
      <c r="E24" s="58">
        <f t="shared" si="0"/>
        <v>0</v>
      </c>
      <c r="F24" s="63">
        <f t="shared" si="1"/>
        <v>0</v>
      </c>
    </row>
    <row r="25" spans="1:6" ht="15" x14ac:dyDescent="0.25">
      <c r="A25" s="5"/>
      <c r="B25" s="31"/>
      <c r="C25" s="3"/>
      <c r="D25" s="55"/>
      <c r="E25" s="58">
        <f t="shared" si="0"/>
        <v>0</v>
      </c>
      <c r="F25" s="63">
        <f t="shared" si="1"/>
        <v>0</v>
      </c>
    </row>
    <row r="26" spans="1:6" ht="15.75" thickBot="1" x14ac:dyDescent="0.3">
      <c r="A26" s="7"/>
      <c r="B26" s="32"/>
      <c r="C26" s="34"/>
      <c r="D26" s="56"/>
      <c r="E26" s="64">
        <f t="shared" si="0"/>
        <v>0</v>
      </c>
      <c r="F26" s="65">
        <f t="shared" si="1"/>
        <v>0</v>
      </c>
    </row>
    <row r="27" spans="1:6" ht="15.75" thickBot="1" x14ac:dyDescent="0.3">
      <c r="A27" s="35" t="s">
        <v>12</v>
      </c>
      <c r="B27" s="36">
        <f>SUM(B6:B26)</f>
        <v>35000</v>
      </c>
      <c r="C27" s="37">
        <f>E27/B27</f>
        <v>8.0000000000000002E-3</v>
      </c>
      <c r="D27" s="57">
        <f>F27/B27</f>
        <v>1.6285714285714287E-3</v>
      </c>
      <c r="E27" s="66">
        <f>SUM(E6:E26)</f>
        <v>280</v>
      </c>
      <c r="F27" s="67">
        <f>SUM(F6:F26)</f>
        <v>57</v>
      </c>
    </row>
    <row r="28" spans="1:6" x14ac:dyDescent="0.2">
      <c r="F28" s="1"/>
    </row>
  </sheetData>
  <mergeCells count="1"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Output</vt:lpstr>
      <vt:lpstr>Charges Calculator</vt:lpstr>
    </vt:vector>
  </TitlesOfParts>
  <Company>CCW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 Gunningham</dc:creator>
  <cp:lastModifiedBy>Aron Gunningham</cp:lastModifiedBy>
  <cp:lastPrinted>2018-02-14T09:06:10Z</cp:lastPrinted>
  <dcterms:created xsi:type="dcterms:W3CDTF">2018-02-02T14:12:06Z</dcterms:created>
  <dcterms:modified xsi:type="dcterms:W3CDTF">2018-08-09T08:16:39Z</dcterms:modified>
</cp:coreProperties>
</file>