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bccl\ns-wmm\WMMUserData$\Ruth.Baker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2" i="1" l="1"/>
  <c r="T16" i="1"/>
  <c r="T17" i="1"/>
  <c r="T20" i="1"/>
  <c r="T15" i="1"/>
  <c r="T7" i="1"/>
  <c r="T8" i="1"/>
  <c r="T4" i="1"/>
  <c r="T11" i="1" s="1"/>
  <c r="T3" i="1"/>
  <c r="J14" i="1"/>
  <c r="K14" i="1" s="1"/>
  <c r="F14" i="1"/>
  <c r="G14" i="1" s="1"/>
  <c r="D14" i="1"/>
  <c r="C14" i="1"/>
  <c r="B14" i="1"/>
  <c r="Q13" i="1"/>
  <c r="P13" i="1"/>
  <c r="M13" i="1"/>
  <c r="P12" i="1"/>
  <c r="Q12" i="1" s="1"/>
  <c r="M12" i="1"/>
  <c r="L10" i="1"/>
  <c r="P10" i="1" s="1"/>
  <c r="Q10" i="1" s="1"/>
  <c r="H10" i="1"/>
  <c r="L9" i="1"/>
  <c r="P9" i="1" s="1"/>
  <c r="Q9" i="1" s="1"/>
  <c r="H9" i="1"/>
  <c r="H14" i="1" s="1"/>
  <c r="I14" i="1" s="1"/>
  <c r="L8" i="1"/>
  <c r="P8" i="1" s="1"/>
  <c r="Q8" i="1" s="1"/>
  <c r="L6" i="1"/>
  <c r="M6" i="1" s="1"/>
  <c r="Q6" i="1" s="1"/>
  <c r="E6" i="1"/>
  <c r="N6" i="1" s="1"/>
  <c r="L5" i="1"/>
  <c r="E5" i="1"/>
  <c r="N5" i="1" s="1"/>
  <c r="N14" i="1" l="1"/>
  <c r="O14" i="1" s="1"/>
  <c r="P5" i="1"/>
  <c r="L14" i="1"/>
  <c r="M14" i="1" s="1"/>
  <c r="M5" i="1"/>
  <c r="P6" i="1"/>
  <c r="P14" i="1" l="1"/>
  <c r="Q14" i="1" s="1"/>
  <c r="Q5" i="1"/>
</calcChain>
</file>

<file path=xl/sharedStrings.xml><?xml version="1.0" encoding="utf-8"?>
<sst xmlns="http://schemas.openxmlformats.org/spreadsheetml/2006/main" count="42" uniqueCount="34">
  <si>
    <t>RIY Calculator</t>
  </si>
  <si>
    <t>Starting Value</t>
  </si>
  <si>
    <t>End Value</t>
  </si>
  <si>
    <t>Money In/Out</t>
  </si>
  <si>
    <t>Annual Fee</t>
  </si>
  <si>
    <t>Total Charges</t>
  </si>
  <si>
    <t>Growth</t>
  </si>
  <si>
    <t>RIY</t>
  </si>
  <si>
    <t>Charges inc growth</t>
  </si>
  <si>
    <t>End Value if 0 charge</t>
  </si>
  <si>
    <t>Return if no charge</t>
  </si>
  <si>
    <t>Reduction in Yield</t>
  </si>
  <si>
    <t>Adviser Fees</t>
  </si>
  <si>
    <t>Provider Fees</t>
  </si>
  <si>
    <t>Investment Fund Charges</t>
  </si>
  <si>
    <t>Plan</t>
  </si>
  <si>
    <t>Value 01/01/2018</t>
  </si>
  <si>
    <t>Value 31/12/2018</t>
  </si>
  <si>
    <t>Average Value</t>
  </si>
  <si>
    <t>Initial £</t>
  </si>
  <si>
    <t>Initial %</t>
  </si>
  <si>
    <t>Ongoing £</t>
  </si>
  <si>
    <t>Ongoing %</t>
  </si>
  <si>
    <t>£</t>
  </si>
  <si>
    <t>%</t>
  </si>
  <si>
    <t>Total</t>
  </si>
  <si>
    <t>XXX Transact ISA</t>
  </si>
  <si>
    <t>YYY Transact ISA</t>
  </si>
  <si>
    <t>XXX Albion VCT</t>
  </si>
  <si>
    <t>XXX Octopus Titan VCT</t>
  </si>
  <si>
    <t>XXX Octopus Apollo VCT</t>
  </si>
  <si>
    <t>XXX Octopus EIS</t>
  </si>
  <si>
    <t>YYY Octopus EIS</t>
  </si>
  <si>
    <t>Total Effect of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</si>
</sst>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F4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A772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44" fontId="0" fillId="0" borderId="0" xfId="1" applyFont="1"/>
    <xf numFmtId="9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44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Border="1"/>
    <xf numFmtId="164" fontId="5" fillId="0" borderId="0" xfId="0" applyNumberFormat="1" applyFont="1" applyBorder="1"/>
    <xf numFmtId="164" fontId="5" fillId="0" borderId="1" xfId="0" applyNumberFormat="1" applyFont="1" applyBorder="1"/>
    <xf numFmtId="10" fontId="5" fillId="0" borderId="0" xfId="2" applyNumberFormat="1" applyFont="1" applyBorder="1"/>
    <xf numFmtId="10" fontId="5" fillId="0" borderId="2" xfId="0" applyNumberFormat="1" applyFont="1" applyBorder="1"/>
    <xf numFmtId="10" fontId="5" fillId="0" borderId="0" xfId="2" applyNumberFormat="1" applyFont="1" applyFill="1" applyBorder="1"/>
    <xf numFmtId="164" fontId="5" fillId="0" borderId="0" xfId="1" applyNumberFormat="1" applyFont="1" applyBorder="1"/>
    <xf numFmtId="10" fontId="5" fillId="0" borderId="2" xfId="2" applyNumberFormat="1" applyFont="1" applyBorder="1"/>
    <xf numFmtId="44" fontId="5" fillId="0" borderId="1" xfId="1" applyFont="1" applyBorder="1"/>
    <xf numFmtId="0" fontId="5" fillId="3" borderId="0" xfId="0" applyFont="1" applyFill="1" applyBorder="1"/>
    <xf numFmtId="164" fontId="5" fillId="3" borderId="0" xfId="0" applyNumberFormat="1" applyFont="1" applyFill="1" applyBorder="1"/>
    <xf numFmtId="164" fontId="5" fillId="3" borderId="1" xfId="0" applyNumberFormat="1" applyFont="1" applyFill="1" applyBorder="1"/>
    <xf numFmtId="10" fontId="5" fillId="3" borderId="0" xfId="2" applyNumberFormat="1" applyFont="1" applyFill="1" applyBorder="1"/>
    <xf numFmtId="10" fontId="5" fillId="3" borderId="2" xfId="0" applyNumberFormat="1" applyFont="1" applyFill="1" applyBorder="1"/>
    <xf numFmtId="164" fontId="5" fillId="3" borderId="0" xfId="1" applyNumberFormat="1" applyFont="1" applyFill="1" applyBorder="1"/>
    <xf numFmtId="10" fontId="5" fillId="3" borderId="2" xfId="2" applyNumberFormat="1" applyFont="1" applyFill="1" applyBorder="1"/>
    <xf numFmtId="44" fontId="5" fillId="3" borderId="1" xfId="1" applyFont="1" applyFill="1" applyBorder="1"/>
    <xf numFmtId="164" fontId="0" fillId="3" borderId="0" xfId="0" applyNumberFormat="1" applyFill="1"/>
    <xf numFmtId="10" fontId="0" fillId="3" borderId="0" xfId="2" applyNumberFormat="1" applyFont="1" applyFill="1"/>
    <xf numFmtId="0" fontId="5" fillId="0" borderId="0" xfId="0" applyFont="1" applyFill="1" applyBorder="1"/>
    <xf numFmtId="164" fontId="5" fillId="0" borderId="0" xfId="0" applyNumberFormat="1" applyFont="1" applyFill="1" applyBorder="1"/>
    <xf numFmtId="164" fontId="5" fillId="0" borderId="1" xfId="0" applyNumberFormat="1" applyFont="1" applyFill="1" applyBorder="1"/>
    <xf numFmtId="10" fontId="5" fillId="0" borderId="2" xfId="0" applyNumberFormat="1" applyFont="1" applyFill="1" applyBorder="1"/>
    <xf numFmtId="164" fontId="5" fillId="0" borderId="0" xfId="1" applyNumberFormat="1" applyFont="1" applyFill="1" applyBorder="1"/>
    <xf numFmtId="10" fontId="5" fillId="0" borderId="2" xfId="2" applyNumberFormat="1" applyFont="1" applyFill="1" applyBorder="1"/>
    <xf numFmtId="44" fontId="5" fillId="0" borderId="1" xfId="1" applyFont="1" applyFill="1" applyBorder="1"/>
    <xf numFmtId="9" fontId="5" fillId="0" borderId="2" xfId="2" applyFont="1" applyFill="1" applyBorder="1"/>
    <xf numFmtId="164" fontId="0" fillId="0" borderId="0" xfId="0" applyNumberFormat="1" applyFill="1"/>
    <xf numFmtId="10" fontId="0" fillId="0" borderId="0" xfId="2" applyNumberFormat="1" applyFont="1" applyFill="1"/>
    <xf numFmtId="0" fontId="5" fillId="3" borderId="0" xfId="0" applyNumberFormat="1" applyFont="1" applyFill="1" applyBorder="1"/>
    <xf numFmtId="9" fontId="5" fillId="3" borderId="2" xfId="2" applyFont="1" applyFill="1" applyBorder="1"/>
    <xf numFmtId="44" fontId="0" fillId="0" borderId="0" xfId="0" applyNumberFormat="1" applyFill="1"/>
    <xf numFmtId="44" fontId="0" fillId="3" borderId="0" xfId="0" applyNumberFormat="1" applyFill="1"/>
    <xf numFmtId="0" fontId="0" fillId="0" borderId="0" xfId="0" applyFill="1"/>
    <xf numFmtId="0" fontId="2" fillId="2" borderId="0" xfId="0" applyFont="1" applyFill="1" applyBorder="1"/>
    <xf numFmtId="164" fontId="2" fillId="2" borderId="0" xfId="0" applyNumberFormat="1" applyFont="1" applyFill="1" applyBorder="1"/>
    <xf numFmtId="164" fontId="2" fillId="2" borderId="1" xfId="0" applyNumberFormat="1" applyFont="1" applyFill="1" applyBorder="1"/>
    <xf numFmtId="10" fontId="2" fillId="2" borderId="0" xfId="2" applyNumberFormat="1" applyFont="1" applyFill="1" applyBorder="1"/>
    <xf numFmtId="10" fontId="2" fillId="2" borderId="2" xfId="2" applyNumberFormat="1" applyFont="1" applyFill="1" applyBorder="1"/>
    <xf numFmtId="44" fontId="2" fillId="2" borderId="1" xfId="1" applyFont="1" applyFill="1" applyBorder="1"/>
    <xf numFmtId="164" fontId="2" fillId="2" borderId="0" xfId="1" applyNumberFormat="1" applyFont="1" applyFill="1" applyBorder="1"/>
    <xf numFmtId="44" fontId="2" fillId="2" borderId="0" xfId="0" applyNumberFormat="1" applyFont="1" applyFill="1" applyBorder="1"/>
    <xf numFmtId="0" fontId="0" fillId="0" borderId="3" xfId="0" applyBorder="1"/>
    <xf numFmtId="10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P25" sqref="P25"/>
    </sheetView>
  </sheetViews>
  <sheetFormatPr defaultRowHeight="15" x14ac:dyDescent="0.25"/>
  <cols>
    <col min="1" max="1" width="22.7109375" bestFit="1" customWidth="1"/>
    <col min="2" max="2" width="16" customWidth="1"/>
    <col min="3" max="3" width="12.5703125" bestFit="1" customWidth="1"/>
    <col min="5" max="5" width="12.5703125" hidden="1" customWidth="1"/>
    <col min="8" max="8" width="10.5703125" bestFit="1" customWidth="1"/>
    <col min="12" max="12" width="10.5703125" bestFit="1" customWidth="1"/>
    <col min="14" max="14" width="10.5703125" bestFit="1" customWidth="1"/>
    <col min="16" max="16" width="10.5703125" bestFit="1" customWidth="1"/>
    <col min="19" max="19" width="21" bestFit="1" customWidth="1"/>
    <col min="20" max="20" width="12.5703125" bestFit="1" customWidth="1"/>
  </cols>
  <sheetData>
    <row r="1" spans="1:20" x14ac:dyDescent="0.25">
      <c r="S1" s="1" t="s">
        <v>0</v>
      </c>
    </row>
    <row r="3" spans="1:20" x14ac:dyDescent="0.25">
      <c r="A3" s="7"/>
      <c r="B3" s="7"/>
      <c r="C3" s="7"/>
      <c r="D3" s="7"/>
      <c r="E3" s="7"/>
      <c r="F3" s="8" t="s">
        <v>12</v>
      </c>
      <c r="G3" s="9"/>
      <c r="H3" s="9"/>
      <c r="I3" s="10"/>
      <c r="J3" s="8" t="s">
        <v>13</v>
      </c>
      <c r="K3" s="9"/>
      <c r="L3" s="9"/>
      <c r="M3" s="10"/>
      <c r="N3" s="8" t="s">
        <v>14</v>
      </c>
      <c r="O3" s="10"/>
      <c r="P3" s="11" t="s">
        <v>5</v>
      </c>
      <c r="Q3" s="11"/>
      <c r="S3" t="s">
        <v>1</v>
      </c>
      <c r="T3" s="2">
        <f>B14</f>
        <v>416347.68000000011</v>
      </c>
    </row>
    <row r="4" spans="1:20" ht="45" x14ac:dyDescent="0.25">
      <c r="A4" s="12" t="s">
        <v>15</v>
      </c>
      <c r="B4" s="13" t="s">
        <v>16</v>
      </c>
      <c r="C4" s="13" t="s">
        <v>17</v>
      </c>
      <c r="D4" s="13" t="s">
        <v>3</v>
      </c>
      <c r="E4" s="13" t="s">
        <v>18</v>
      </c>
      <c r="F4" s="14" t="s">
        <v>19</v>
      </c>
      <c r="G4" s="15" t="s">
        <v>20</v>
      </c>
      <c r="H4" s="15" t="s">
        <v>21</v>
      </c>
      <c r="I4" s="16" t="s">
        <v>22</v>
      </c>
      <c r="J4" s="14" t="s">
        <v>19</v>
      </c>
      <c r="K4" s="15" t="s">
        <v>20</v>
      </c>
      <c r="L4" s="15" t="s">
        <v>21</v>
      </c>
      <c r="M4" s="16" t="s">
        <v>22</v>
      </c>
      <c r="N4" s="14" t="s">
        <v>23</v>
      </c>
      <c r="O4" s="16" t="s">
        <v>24</v>
      </c>
      <c r="P4" s="15" t="s">
        <v>23</v>
      </c>
      <c r="Q4" s="15" t="s">
        <v>24</v>
      </c>
      <c r="S4" t="s">
        <v>2</v>
      </c>
      <c r="T4" s="2">
        <f>C14</f>
        <v>399332.69</v>
      </c>
    </row>
    <row r="5" spans="1:20" x14ac:dyDescent="0.25">
      <c r="A5" s="17" t="s">
        <v>26</v>
      </c>
      <c r="B5" s="18">
        <v>140198.01</v>
      </c>
      <c r="C5" s="18">
        <v>131630.78</v>
      </c>
      <c r="D5" s="18">
        <v>0</v>
      </c>
      <c r="E5" s="18">
        <f>H5/I5</f>
        <v>138263</v>
      </c>
      <c r="F5" s="19">
        <v>0</v>
      </c>
      <c r="G5" s="20">
        <v>0</v>
      </c>
      <c r="H5" s="18">
        <v>1382.63</v>
      </c>
      <c r="I5" s="21">
        <v>0.01</v>
      </c>
      <c r="J5" s="19">
        <v>0</v>
      </c>
      <c r="K5" s="22">
        <v>0</v>
      </c>
      <c r="L5" s="23">
        <f>405.4+12</f>
        <v>417.4</v>
      </c>
      <c r="M5" s="24">
        <f>L5/E5</f>
        <v>3.0188843002104684E-3</v>
      </c>
      <c r="N5" s="25">
        <f>E5*O5</f>
        <v>553.05200000000002</v>
      </c>
      <c r="O5" s="24">
        <v>4.0000000000000001E-3</v>
      </c>
      <c r="P5" s="6">
        <f>N5+L5+J5+H5+F5</f>
        <v>2353.0820000000003</v>
      </c>
      <c r="Q5" s="5">
        <f>P5/E5</f>
        <v>1.7018884300210473E-2</v>
      </c>
      <c r="S5" t="s">
        <v>3</v>
      </c>
      <c r="T5" s="2">
        <v>0</v>
      </c>
    </row>
    <row r="6" spans="1:20" x14ac:dyDescent="0.25">
      <c r="A6" s="26" t="s">
        <v>27</v>
      </c>
      <c r="B6" s="27">
        <v>159331.66</v>
      </c>
      <c r="C6" s="27">
        <v>151261.95000000001</v>
      </c>
      <c r="D6" s="27">
        <v>0</v>
      </c>
      <c r="E6" s="27">
        <f t="shared" ref="E6" si="0">H6/I6</f>
        <v>157226</v>
      </c>
      <c r="F6" s="28">
        <v>0</v>
      </c>
      <c r="G6" s="29">
        <v>0</v>
      </c>
      <c r="H6" s="27">
        <v>1572.26</v>
      </c>
      <c r="I6" s="30">
        <v>0.01</v>
      </c>
      <c r="J6" s="28">
        <v>0</v>
      </c>
      <c r="K6" s="29">
        <v>0</v>
      </c>
      <c r="L6" s="31">
        <f>461.01+12</f>
        <v>473.01</v>
      </c>
      <c r="M6" s="32">
        <f>L6/E6</f>
        <v>3.0084718812410159E-3</v>
      </c>
      <c r="N6" s="33">
        <f>E6*O6</f>
        <v>597.4588</v>
      </c>
      <c r="O6" s="32">
        <v>3.8E-3</v>
      </c>
      <c r="P6" s="34">
        <f>L6+H6+N6</f>
        <v>2642.7287999999999</v>
      </c>
      <c r="Q6" s="35">
        <f>O6+M6+I6</f>
        <v>1.6808471881241016E-2</v>
      </c>
    </row>
    <row r="7" spans="1:20" x14ac:dyDescent="0.25">
      <c r="A7" s="36"/>
      <c r="B7" s="37"/>
      <c r="C7" s="37"/>
      <c r="D7" s="37"/>
      <c r="E7" s="37"/>
      <c r="F7" s="38"/>
      <c r="G7" s="22"/>
      <c r="H7" s="37"/>
      <c r="I7" s="39"/>
      <c r="J7" s="38"/>
      <c r="K7" s="22"/>
      <c r="L7" s="40"/>
      <c r="M7" s="41"/>
      <c r="N7" s="42"/>
      <c r="O7" s="43"/>
      <c r="P7" s="44"/>
      <c r="Q7" s="45"/>
      <c r="S7" t="s">
        <v>4</v>
      </c>
      <c r="T7" s="3">
        <f>Q14</f>
        <v>1.5668799115844987E-2</v>
      </c>
    </row>
    <row r="8" spans="1:20" x14ac:dyDescent="0.25">
      <c r="A8" s="26" t="s">
        <v>28</v>
      </c>
      <c r="B8" s="27">
        <v>9220.52</v>
      </c>
      <c r="C8" s="27">
        <v>9893.2900000000009</v>
      </c>
      <c r="D8" s="27">
        <v>0</v>
      </c>
      <c r="E8" s="46"/>
      <c r="F8" s="28">
        <v>0</v>
      </c>
      <c r="G8" s="29">
        <v>0</v>
      </c>
      <c r="H8" s="27">
        <v>0</v>
      </c>
      <c r="I8" s="30">
        <v>0</v>
      </c>
      <c r="J8" s="28">
        <v>0</v>
      </c>
      <c r="K8" s="29">
        <v>0</v>
      </c>
      <c r="L8" s="31">
        <f>C8*M8</f>
        <v>296.7987</v>
      </c>
      <c r="M8" s="32">
        <v>0.03</v>
      </c>
      <c r="N8" s="33">
        <v>0</v>
      </c>
      <c r="O8" s="47">
        <v>0</v>
      </c>
      <c r="P8" s="34">
        <f>L8+J8+H8+F8</f>
        <v>296.7987</v>
      </c>
      <c r="Q8" s="35">
        <f>P8/C8</f>
        <v>2.9999999999999995E-2</v>
      </c>
      <c r="S8" t="s">
        <v>5</v>
      </c>
      <c r="T8" s="2">
        <f>P14</f>
        <v>6257.0636999999997</v>
      </c>
    </row>
    <row r="9" spans="1:20" x14ac:dyDescent="0.25">
      <c r="A9" s="36" t="s">
        <v>29</v>
      </c>
      <c r="B9" s="37">
        <v>14200.64</v>
      </c>
      <c r="C9" s="37">
        <v>13877.2</v>
      </c>
      <c r="D9" s="37">
        <v>0</v>
      </c>
      <c r="E9" s="37"/>
      <c r="F9" s="38">
        <v>0</v>
      </c>
      <c r="G9" s="22">
        <v>0</v>
      </c>
      <c r="H9" s="37">
        <f>2.45+2.47+2.45+2.23+2.7+2.49+2.52+2.48+2.26+2.74+0.22+0.23+0.25+0.25+0.29+0.32+0.32+0.33+0.35+1.89+2.08+2.09+2.11+2.16+2.3+2.16+2.38+2.38+2.52+2.62</f>
        <v>52.040000000000006</v>
      </c>
      <c r="I9" s="39">
        <v>5.0000000000000001E-3</v>
      </c>
      <c r="J9" s="38">
        <v>0</v>
      </c>
      <c r="K9" s="22">
        <v>0</v>
      </c>
      <c r="L9" s="40">
        <f>C9*M9</f>
        <v>277.54400000000004</v>
      </c>
      <c r="M9" s="41">
        <v>0.02</v>
      </c>
      <c r="N9" s="42">
        <v>0</v>
      </c>
      <c r="O9" s="43">
        <v>0</v>
      </c>
      <c r="P9" s="48">
        <f>N9+L9+J9+H9+F9</f>
        <v>329.58400000000006</v>
      </c>
      <c r="Q9" s="45">
        <f>P9/C9</f>
        <v>2.3750036030323125E-2</v>
      </c>
      <c r="T9" s="4"/>
    </row>
    <row r="10" spans="1:20" x14ac:dyDescent="0.25">
      <c r="A10" s="26" t="s">
        <v>30</v>
      </c>
      <c r="B10" s="27">
        <v>5079.84</v>
      </c>
      <c r="C10" s="27">
        <v>4910.51</v>
      </c>
      <c r="D10" s="27">
        <v>0</v>
      </c>
      <c r="E10" s="27"/>
      <c r="F10" s="28">
        <v>0</v>
      </c>
      <c r="G10" s="29">
        <v>0</v>
      </c>
      <c r="H10" s="27">
        <f>2.47+47.54</f>
        <v>50.01</v>
      </c>
      <c r="I10" s="30">
        <v>5.0000000000000001E-3</v>
      </c>
      <c r="J10" s="28">
        <v>0</v>
      </c>
      <c r="K10" s="29">
        <v>0</v>
      </c>
      <c r="L10" s="31">
        <f>C10*M10</f>
        <v>98.2102</v>
      </c>
      <c r="M10" s="32">
        <v>0.02</v>
      </c>
      <c r="N10" s="33">
        <v>0</v>
      </c>
      <c r="O10" s="47">
        <v>0</v>
      </c>
      <c r="P10" s="49">
        <f>N10+L10+J10+H10+F10</f>
        <v>148.22020000000001</v>
      </c>
      <c r="Q10" s="35">
        <f>P10/C10</f>
        <v>3.0184278211428141E-2</v>
      </c>
      <c r="T10" s="4"/>
    </row>
    <row r="11" spans="1:20" x14ac:dyDescent="0.25">
      <c r="A11" s="36"/>
      <c r="B11" s="37"/>
      <c r="C11" s="37"/>
      <c r="D11" s="37"/>
      <c r="E11" s="37"/>
      <c r="F11" s="38"/>
      <c r="G11" s="22"/>
      <c r="H11" s="37"/>
      <c r="I11" s="39"/>
      <c r="J11" s="38"/>
      <c r="K11" s="22"/>
      <c r="L11" s="40"/>
      <c r="M11" s="41"/>
      <c r="N11" s="42"/>
      <c r="O11" s="43"/>
      <c r="P11" s="50"/>
      <c r="Q11" s="45"/>
      <c r="S11" t="s">
        <v>6</v>
      </c>
      <c r="T11" s="5">
        <f>((T4-T5)/T3)-1</f>
        <v>-4.08672626685469E-2</v>
      </c>
    </row>
    <row r="12" spans="1:20" x14ac:dyDescent="0.25">
      <c r="A12" s="26" t="s">
        <v>31</v>
      </c>
      <c r="B12" s="27">
        <v>41705.269999999997</v>
      </c>
      <c r="C12" s="27">
        <v>41442.26</v>
      </c>
      <c r="D12" s="27">
        <v>0</v>
      </c>
      <c r="E12" s="27"/>
      <c r="F12" s="28">
        <v>0</v>
      </c>
      <c r="G12" s="29">
        <v>0</v>
      </c>
      <c r="H12" s="27">
        <v>0</v>
      </c>
      <c r="I12" s="30">
        <v>0</v>
      </c>
      <c r="J12" s="28">
        <v>0</v>
      </c>
      <c r="K12" s="29">
        <v>0</v>
      </c>
      <c r="L12" s="31">
        <v>229.48</v>
      </c>
      <c r="M12" s="32">
        <f>L12/C12</f>
        <v>5.5373427993550542E-3</v>
      </c>
      <c r="N12" s="33">
        <v>0</v>
      </c>
      <c r="O12" s="47">
        <v>0</v>
      </c>
      <c r="P12" s="49">
        <f>N12+L12+J12+H12+F12</f>
        <v>229.48</v>
      </c>
      <c r="Q12" s="35">
        <f>P12/C12</f>
        <v>5.5373427993550542E-3</v>
      </c>
      <c r="T12" s="5"/>
    </row>
    <row r="13" spans="1:20" x14ac:dyDescent="0.25">
      <c r="A13" s="36" t="s">
        <v>32</v>
      </c>
      <c r="B13" s="37">
        <v>46611.74</v>
      </c>
      <c r="C13" s="37">
        <v>46316.7</v>
      </c>
      <c r="D13" s="37">
        <v>0</v>
      </c>
      <c r="E13" s="37"/>
      <c r="F13" s="38">
        <v>0</v>
      </c>
      <c r="G13" s="22">
        <v>0</v>
      </c>
      <c r="H13" s="37">
        <v>0</v>
      </c>
      <c r="I13" s="39">
        <v>0</v>
      </c>
      <c r="J13" s="38">
        <v>0</v>
      </c>
      <c r="K13" s="22">
        <v>0</v>
      </c>
      <c r="L13" s="40">
        <v>257.17</v>
      </c>
      <c r="M13" s="41">
        <f>L13/C13</f>
        <v>5.5524249352825227E-3</v>
      </c>
      <c r="N13" s="42">
        <v>0</v>
      </c>
      <c r="O13" s="43">
        <v>0</v>
      </c>
      <c r="P13" s="48">
        <f>N13+L13+J13+H13+F13</f>
        <v>257.17</v>
      </c>
      <c r="Q13" s="45">
        <f>P13/C13</f>
        <v>5.5524249352825227E-3</v>
      </c>
      <c r="T13" s="4"/>
    </row>
    <row r="14" spans="1:20" x14ac:dyDescent="0.25">
      <c r="A14" s="51" t="s">
        <v>25</v>
      </c>
      <c r="B14" s="52">
        <f>SUM(B5:B13)</f>
        <v>416347.68000000011</v>
      </c>
      <c r="C14" s="52">
        <f t="shared" ref="C14:D14" si="1">SUM(C5:C13)</f>
        <v>399332.69</v>
      </c>
      <c r="D14" s="52">
        <f t="shared" si="1"/>
        <v>0</v>
      </c>
      <c r="E14" s="52"/>
      <c r="F14" s="53">
        <f>SUM(F5:F13)</f>
        <v>0</v>
      </c>
      <c r="G14" s="54">
        <f>F14/C14</f>
        <v>0</v>
      </c>
      <c r="H14" s="52">
        <f>SUM(H5:H13)</f>
        <v>3056.9400000000005</v>
      </c>
      <c r="I14" s="55">
        <f>H14/C14</f>
        <v>7.6551208467305811E-3</v>
      </c>
      <c r="J14" s="56">
        <f>SUM(J5:J13)</f>
        <v>0</v>
      </c>
      <c r="K14" s="54">
        <f>J14/C14</f>
        <v>0</v>
      </c>
      <c r="L14" s="57">
        <f>SUM(L5:L13)</f>
        <v>2049.6129000000001</v>
      </c>
      <c r="M14" s="55">
        <f>L14/C14</f>
        <v>5.1325948296394169E-3</v>
      </c>
      <c r="N14" s="56">
        <f>SUM(N5:N13)</f>
        <v>1150.5108</v>
      </c>
      <c r="O14" s="55">
        <f>N14/C14</f>
        <v>2.8810834394749902E-3</v>
      </c>
      <c r="P14" s="58">
        <f>SUM(P5:P13)</f>
        <v>6257.0636999999997</v>
      </c>
      <c r="Q14" s="54">
        <f>P14/C14</f>
        <v>1.5668799115844987E-2</v>
      </c>
      <c r="S14" t="s">
        <v>7</v>
      </c>
      <c r="T14" s="5"/>
    </row>
    <row r="15" spans="1:20" x14ac:dyDescent="0.25">
      <c r="S15" t="s">
        <v>8</v>
      </c>
      <c r="T15" s="2">
        <f>T8*(1+T11)</f>
        <v>6001.3546342382697</v>
      </c>
    </row>
    <row r="16" spans="1:20" x14ac:dyDescent="0.25">
      <c r="S16" t="s">
        <v>9</v>
      </c>
      <c r="T16" s="2">
        <f>T15+T4</f>
        <v>405334.04463423829</v>
      </c>
    </row>
    <row r="17" spans="19:20" x14ac:dyDescent="0.25">
      <c r="S17" t="s">
        <v>10</v>
      </c>
      <c r="T17" s="5">
        <f>T16/T3-1</f>
        <v>-2.6452976430088038E-2</v>
      </c>
    </row>
    <row r="19" spans="19:20" ht="15.75" thickBot="1" x14ac:dyDescent="0.3"/>
    <row r="20" spans="19:20" x14ac:dyDescent="0.25">
      <c r="S20" s="59" t="s">
        <v>11</v>
      </c>
      <c r="T20" s="60">
        <f>T17-T11</f>
        <v>1.4414286238458862E-2</v>
      </c>
    </row>
    <row r="21" spans="19:20" x14ac:dyDescent="0.25">
      <c r="S21" s="61"/>
      <c r="T21" s="62"/>
    </row>
    <row r="22" spans="19:20" ht="15.75" thickBot="1" x14ac:dyDescent="0.3">
      <c r="S22" s="63" t="s">
        <v>33</v>
      </c>
      <c r="T22" s="64">
        <f>T16-T4</f>
        <v>6001.3546342382906</v>
      </c>
    </row>
  </sheetData>
  <mergeCells count="4">
    <mergeCell ref="F3:I3"/>
    <mergeCell ref="J3:M3"/>
    <mergeCell ref="N3:O3"/>
    <mergeCell ref="P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Big Cloud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Baker</dc:creator>
  <cp:lastModifiedBy>Ruth Baker</cp:lastModifiedBy>
  <dcterms:created xsi:type="dcterms:W3CDTF">2019-04-24T09:12:04Z</dcterms:created>
  <dcterms:modified xsi:type="dcterms:W3CDTF">2019-04-24T09:23:40Z</dcterms:modified>
</cp:coreProperties>
</file>